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18\共有フォルダ24\11101500-020総務課\経理関係\○委託契約（建物関係､その他）\R7\○R7受付案内（一般競争）\R7入札\仕様書等\"/>
    </mc:Choice>
  </mc:AlternateContent>
  <bookViews>
    <workbookView xWindow="-105" yWindow="-105" windowWidth="23250" windowHeight="12570" activeTab="2"/>
  </bookViews>
  <sheets>
    <sheet name="年間カレンダー" sheetId="15" r:id="rId1"/>
    <sheet name="配置表" sheetId="14" r:id="rId2"/>
    <sheet name="月別配置時間★" sheetId="17" r:id="rId3"/>
    <sheet name="データ" sheetId="3" state="hidden" r:id="rId4"/>
  </sheets>
  <definedNames>
    <definedName name="_xlnm.Print_Area" localSheetId="3">データ!$A$1:$P$29</definedName>
    <definedName name="_xlnm.Print_Area" localSheetId="2">月別配置時間★!$A$1:$AC$429</definedName>
    <definedName name="_xlnm.Print_Area" localSheetId="0">年間カレンダー!$A$1:$AO$66</definedName>
    <definedName name="_xlnm.Print_Titles" localSheetId="2">月別配置時間★!$1:$5</definedName>
    <definedName name="_xlnm.Print_Titles" localSheetId="1">配置表!$1:$5</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B384" i="17" l="1"/>
  <c r="AB353" i="17"/>
  <c r="AB320" i="17"/>
  <c r="AB287" i="17"/>
  <c r="AB254" i="17"/>
  <c r="AB221" i="17"/>
  <c r="AB188" i="17"/>
  <c r="AB155" i="17"/>
  <c r="AB122" i="17"/>
  <c r="AB89" i="17"/>
  <c r="AB383" i="17" l="1"/>
  <c r="AB380" i="17"/>
  <c r="AB377" i="17"/>
  <c r="AB376" i="17"/>
  <c r="AB374" i="17"/>
  <c r="AB371" i="17"/>
  <c r="AB370" i="17"/>
  <c r="AB352" i="17"/>
  <c r="AB349" i="17"/>
  <c r="AB346" i="17"/>
  <c r="AB345" i="17"/>
  <c r="AB343" i="17"/>
  <c r="AB340" i="17"/>
  <c r="AB339" i="17"/>
  <c r="AB319" i="17"/>
  <c r="AB316" i="17"/>
  <c r="AB313" i="17"/>
  <c r="AB312" i="17"/>
  <c r="AB310" i="17"/>
  <c r="AB307" i="17"/>
  <c r="AB306" i="17"/>
  <c r="AB286" i="17"/>
  <c r="AB283" i="17"/>
  <c r="AB280" i="17"/>
  <c r="AB279" i="17"/>
  <c r="AB277" i="17"/>
  <c r="AB274" i="17"/>
  <c r="AB273" i="17"/>
  <c r="AB253" i="17"/>
  <c r="AB250" i="17"/>
  <c r="AB247" i="17"/>
  <c r="AB246" i="17"/>
  <c r="AB244" i="17"/>
  <c r="AB241" i="17"/>
  <c r="AB240" i="17"/>
  <c r="AB220" i="17"/>
  <c r="AB217" i="17"/>
  <c r="AB214" i="17"/>
  <c r="AB213" i="17"/>
  <c r="AB211" i="17"/>
  <c r="AB208" i="17"/>
  <c r="AB207" i="17"/>
  <c r="AB187" i="17"/>
  <c r="AB184" i="17"/>
  <c r="AB181" i="17"/>
  <c r="AB180" i="17"/>
  <c r="AB178" i="17"/>
  <c r="AB175" i="17"/>
  <c r="AB174" i="17"/>
  <c r="AB154" i="17"/>
  <c r="AB151" i="17"/>
  <c r="AB148" i="17"/>
  <c r="AB147" i="17"/>
  <c r="AB145" i="17"/>
  <c r="AB142" i="17"/>
  <c r="AB141" i="17"/>
  <c r="AB121" i="17"/>
  <c r="AB118" i="17"/>
  <c r="AB115" i="17"/>
  <c r="AB114" i="17"/>
  <c r="AB112" i="17"/>
  <c r="AB109" i="17"/>
  <c r="AB108" i="17"/>
  <c r="AB75" i="17"/>
  <c r="AB88" i="17"/>
  <c r="AB85" i="17"/>
  <c r="AB82" i="17"/>
  <c r="AB81" i="17"/>
  <c r="AB79" i="17"/>
  <c r="AB76" i="17"/>
  <c r="AB55" i="17"/>
  <c r="AB52" i="17"/>
  <c r="AB49" i="17"/>
  <c r="AB48" i="17"/>
  <c r="AB46" i="17"/>
  <c r="AB43" i="17"/>
  <c r="AB42" i="17"/>
  <c r="AC75" i="17"/>
  <c r="AC42" i="17" l="1"/>
  <c r="Z385" i="17" l="1"/>
  <c r="AA385" i="17" s="1"/>
  <c r="AC385" i="17" s="1"/>
  <c r="AA383" i="17"/>
  <c r="AC383" i="17" s="1"/>
  <c r="Z383" i="17"/>
  <c r="Z382" i="17"/>
  <c r="AA382" i="17" s="1"/>
  <c r="AC382" i="17" s="1"/>
  <c r="Z381" i="17"/>
  <c r="AA381" i="17" s="1"/>
  <c r="AC381" i="17" s="1"/>
  <c r="AC380" i="17"/>
  <c r="AA380" i="17"/>
  <c r="Z380" i="17"/>
  <c r="AA379" i="17"/>
  <c r="AC379" i="17" s="1"/>
  <c r="Z379" i="17"/>
  <c r="Z378" i="17"/>
  <c r="AA378" i="17" s="1"/>
  <c r="AC378" i="17" s="1"/>
  <c r="Z377" i="17"/>
  <c r="AA377" i="17" s="1"/>
  <c r="AC377" i="17" s="1"/>
  <c r="AC376" i="17"/>
  <c r="AA376" i="17"/>
  <c r="Z376" i="17"/>
  <c r="Z375" i="17"/>
  <c r="AA375" i="17" s="1"/>
  <c r="AC375" i="17" s="1"/>
  <c r="Z374" i="17"/>
  <c r="AA374" i="17" s="1"/>
  <c r="AC374" i="17" s="1"/>
  <c r="Z373" i="17"/>
  <c r="AA373" i="17" s="1"/>
  <c r="AC373" i="17" s="1"/>
  <c r="AA372" i="17"/>
  <c r="AC372" i="17" s="1"/>
  <c r="Z372" i="17"/>
  <c r="Z371" i="17"/>
  <c r="AA371" i="17" s="1"/>
  <c r="AC371" i="17" s="1"/>
  <c r="Z370" i="17"/>
  <c r="AA370" i="17" s="1"/>
  <c r="AC370" i="17" s="1"/>
  <c r="Z369" i="17"/>
  <c r="AA369" i="17" s="1"/>
  <c r="AC369" i="17" s="1"/>
  <c r="Z354" i="17"/>
  <c r="AA354" i="17" s="1"/>
  <c r="AC354" i="17" s="1"/>
  <c r="AA352" i="17"/>
  <c r="AC352" i="17" s="1"/>
  <c r="Z352" i="17"/>
  <c r="Z351" i="17"/>
  <c r="AA351" i="17" s="1"/>
  <c r="AC351" i="17" s="1"/>
  <c r="Z350" i="17"/>
  <c r="AA350" i="17" s="1"/>
  <c r="AC350" i="17" s="1"/>
  <c r="AC349" i="17"/>
  <c r="AA349" i="17"/>
  <c r="Z349" i="17"/>
  <c r="AA348" i="17"/>
  <c r="AC348" i="17" s="1"/>
  <c r="Z348" i="17"/>
  <c r="Z347" i="17"/>
  <c r="AA347" i="17" s="1"/>
  <c r="AC347" i="17" s="1"/>
  <c r="Z346" i="17"/>
  <c r="AA346" i="17" s="1"/>
  <c r="AC346" i="17" s="1"/>
  <c r="AC345" i="17"/>
  <c r="AA345" i="17"/>
  <c r="Z345" i="17"/>
  <c r="Z344" i="17"/>
  <c r="AA344" i="17" s="1"/>
  <c r="AC344" i="17" s="1"/>
  <c r="Z343" i="17"/>
  <c r="AA343" i="17" s="1"/>
  <c r="AC343" i="17" s="1"/>
  <c r="Z342" i="17"/>
  <c r="AA342" i="17" s="1"/>
  <c r="AC342" i="17" s="1"/>
  <c r="AA341" i="17"/>
  <c r="AC341" i="17" s="1"/>
  <c r="Z341" i="17"/>
  <c r="Z340" i="17"/>
  <c r="AA340" i="17" s="1"/>
  <c r="AC340" i="17" s="1"/>
  <c r="Z339" i="17"/>
  <c r="AA339" i="17" s="1"/>
  <c r="AC339" i="17" s="1"/>
  <c r="Z338" i="17"/>
  <c r="AA338" i="17" s="1"/>
  <c r="AC338" i="17" s="1"/>
  <c r="Z321" i="17"/>
  <c r="AA321" i="17" s="1"/>
  <c r="AC321" i="17" s="1"/>
  <c r="AA319" i="17"/>
  <c r="AC319" i="17" s="1"/>
  <c r="Z319" i="17"/>
  <c r="Z318" i="17"/>
  <c r="AA318" i="17" s="1"/>
  <c r="AC318" i="17" s="1"/>
  <c r="Z317" i="17"/>
  <c r="AA317" i="17" s="1"/>
  <c r="AC317" i="17" s="1"/>
  <c r="AC316" i="17"/>
  <c r="AA316" i="17"/>
  <c r="Z316" i="17"/>
  <c r="AA315" i="17"/>
  <c r="AC315" i="17" s="1"/>
  <c r="Z315" i="17"/>
  <c r="Z314" i="17"/>
  <c r="AA314" i="17" s="1"/>
  <c r="AC314" i="17" s="1"/>
  <c r="Z313" i="17"/>
  <c r="AA313" i="17" s="1"/>
  <c r="AC313" i="17" s="1"/>
  <c r="AC312" i="17"/>
  <c r="AA312" i="17"/>
  <c r="Z312" i="17"/>
  <c r="Z311" i="17"/>
  <c r="AA311" i="17" s="1"/>
  <c r="AC311" i="17" s="1"/>
  <c r="Z310" i="17"/>
  <c r="AA310" i="17" s="1"/>
  <c r="AC310" i="17" s="1"/>
  <c r="Z309" i="17"/>
  <c r="AA309" i="17" s="1"/>
  <c r="AC309" i="17" s="1"/>
  <c r="AA308" i="17"/>
  <c r="AC308" i="17" s="1"/>
  <c r="Z308" i="17"/>
  <c r="Z307" i="17"/>
  <c r="AA307" i="17" s="1"/>
  <c r="AC307" i="17" s="1"/>
  <c r="Z306" i="17"/>
  <c r="AA306" i="17" s="1"/>
  <c r="AC306" i="17" s="1"/>
  <c r="Z305" i="17"/>
  <c r="AA305" i="17" s="1"/>
  <c r="AC305" i="17" s="1"/>
  <c r="Z288" i="17"/>
  <c r="AA288" i="17" s="1"/>
  <c r="AC288" i="17" s="1"/>
  <c r="AA286" i="17"/>
  <c r="AC286" i="17" s="1"/>
  <c r="Z286" i="17"/>
  <c r="Z285" i="17"/>
  <c r="AA285" i="17" s="1"/>
  <c r="AC285" i="17" s="1"/>
  <c r="Z284" i="17"/>
  <c r="AA284" i="17" s="1"/>
  <c r="AC284" i="17" s="1"/>
  <c r="AC283" i="17"/>
  <c r="AA283" i="17"/>
  <c r="Z283" i="17"/>
  <c r="AA282" i="17"/>
  <c r="AC282" i="17" s="1"/>
  <c r="Z282" i="17"/>
  <c r="Z281" i="17"/>
  <c r="AA281" i="17" s="1"/>
  <c r="AC281" i="17" s="1"/>
  <c r="Z280" i="17"/>
  <c r="AA280" i="17" s="1"/>
  <c r="AC280" i="17" s="1"/>
  <c r="AC279" i="17"/>
  <c r="AA279" i="17"/>
  <c r="Z279" i="17"/>
  <c r="Z278" i="17"/>
  <c r="AA278" i="17" s="1"/>
  <c r="AC278" i="17" s="1"/>
  <c r="Z277" i="17"/>
  <c r="AA277" i="17" s="1"/>
  <c r="AC277" i="17" s="1"/>
  <c r="Z276" i="17"/>
  <c r="AA276" i="17" s="1"/>
  <c r="AC276" i="17" s="1"/>
  <c r="AA275" i="17"/>
  <c r="AC275" i="17" s="1"/>
  <c r="Z275" i="17"/>
  <c r="Z274" i="17"/>
  <c r="AA274" i="17" s="1"/>
  <c r="AC274" i="17" s="1"/>
  <c r="Z273" i="17"/>
  <c r="AA273" i="17" s="1"/>
  <c r="AC273" i="17" s="1"/>
  <c r="Z272" i="17"/>
  <c r="AA272" i="17" s="1"/>
  <c r="AC272" i="17" s="1"/>
  <c r="Z255" i="17"/>
  <c r="AA255" i="17" s="1"/>
  <c r="AC255" i="17" s="1"/>
  <c r="AA253" i="17"/>
  <c r="AC253" i="17" s="1"/>
  <c r="Z253" i="17"/>
  <c r="Z252" i="17"/>
  <c r="AA252" i="17" s="1"/>
  <c r="AC252" i="17" s="1"/>
  <c r="Z251" i="17"/>
  <c r="AA251" i="17" s="1"/>
  <c r="AC251" i="17" s="1"/>
  <c r="AC250" i="17"/>
  <c r="AA250" i="17"/>
  <c r="Z250" i="17"/>
  <c r="AA249" i="17"/>
  <c r="AC249" i="17" s="1"/>
  <c r="Z249" i="17"/>
  <c r="Z248" i="17"/>
  <c r="AA248" i="17" s="1"/>
  <c r="AC248" i="17" s="1"/>
  <c r="Z247" i="17"/>
  <c r="AA247" i="17" s="1"/>
  <c r="AC247" i="17" s="1"/>
  <c r="AC246" i="17"/>
  <c r="AA246" i="17"/>
  <c r="Z246" i="17"/>
  <c r="Z245" i="17"/>
  <c r="AA245" i="17" s="1"/>
  <c r="AC245" i="17" s="1"/>
  <c r="Z244" i="17"/>
  <c r="AA244" i="17" s="1"/>
  <c r="AC244" i="17" s="1"/>
  <c r="Z243" i="17"/>
  <c r="AA243" i="17" s="1"/>
  <c r="AC243" i="17" s="1"/>
  <c r="AA242" i="17"/>
  <c r="AC242" i="17" s="1"/>
  <c r="Z242" i="17"/>
  <c r="Z241" i="17"/>
  <c r="AA241" i="17" s="1"/>
  <c r="AC241" i="17" s="1"/>
  <c r="Z240" i="17"/>
  <c r="AA240" i="17" s="1"/>
  <c r="AC240" i="17" s="1"/>
  <c r="Z239" i="17"/>
  <c r="AA239" i="17" s="1"/>
  <c r="AC239" i="17" s="1"/>
  <c r="Z222" i="17"/>
  <c r="AA222" i="17" s="1"/>
  <c r="AC222" i="17" s="1"/>
  <c r="AA220" i="17"/>
  <c r="AC220" i="17" s="1"/>
  <c r="Z220" i="17"/>
  <c r="Z219" i="17"/>
  <c r="AA219" i="17" s="1"/>
  <c r="AC219" i="17" s="1"/>
  <c r="Z218" i="17"/>
  <c r="AA218" i="17" s="1"/>
  <c r="AC218" i="17" s="1"/>
  <c r="AC217" i="17"/>
  <c r="AA217" i="17"/>
  <c r="Z217" i="17"/>
  <c r="AA216" i="17"/>
  <c r="AC216" i="17" s="1"/>
  <c r="Z216" i="17"/>
  <c r="Z215" i="17"/>
  <c r="AA215" i="17" s="1"/>
  <c r="AC215" i="17" s="1"/>
  <c r="Z214" i="17"/>
  <c r="AA214" i="17" s="1"/>
  <c r="AC214" i="17" s="1"/>
  <c r="AC213" i="17"/>
  <c r="AA213" i="17"/>
  <c r="Z213" i="17"/>
  <c r="AA212" i="17"/>
  <c r="AC212" i="17" s="1"/>
  <c r="Z212" i="17"/>
  <c r="Z211" i="17"/>
  <c r="AA211" i="17" s="1"/>
  <c r="AC211" i="17" s="1"/>
  <c r="Z210" i="17"/>
  <c r="AA210" i="17" s="1"/>
  <c r="AC210" i="17" s="1"/>
  <c r="AC209" i="17"/>
  <c r="AA209" i="17"/>
  <c r="Z209" i="17"/>
  <c r="AA208" i="17"/>
  <c r="AC208" i="17" s="1"/>
  <c r="Z208" i="17"/>
  <c r="Z207" i="17"/>
  <c r="AA207" i="17" s="1"/>
  <c r="AC207" i="17" s="1"/>
  <c r="Z206" i="17"/>
  <c r="AA206" i="17" s="1"/>
  <c r="AC206" i="17" s="1"/>
  <c r="Z189" i="17"/>
  <c r="AA189" i="17" s="1"/>
  <c r="AC189" i="17" s="1"/>
  <c r="AA187" i="17"/>
  <c r="AC187" i="17" s="1"/>
  <c r="Z187" i="17"/>
  <c r="Z186" i="17"/>
  <c r="AA186" i="17" s="1"/>
  <c r="AC186" i="17" s="1"/>
  <c r="Z185" i="17"/>
  <c r="AA185" i="17" s="1"/>
  <c r="AC185" i="17" s="1"/>
  <c r="AC184" i="17"/>
  <c r="AA184" i="17"/>
  <c r="Z184" i="17"/>
  <c r="AA183" i="17"/>
  <c r="AC183" i="17" s="1"/>
  <c r="Z183" i="17"/>
  <c r="Z182" i="17"/>
  <c r="AA182" i="17" s="1"/>
  <c r="AC182" i="17" s="1"/>
  <c r="Z181" i="17"/>
  <c r="AA181" i="17" s="1"/>
  <c r="AC181" i="17" s="1"/>
  <c r="AC180" i="17"/>
  <c r="AA180" i="17"/>
  <c r="Z180" i="17"/>
  <c r="Z179" i="17"/>
  <c r="AA179" i="17" s="1"/>
  <c r="AC179" i="17" s="1"/>
  <c r="Z178" i="17"/>
  <c r="AA178" i="17" s="1"/>
  <c r="AC178" i="17" s="1"/>
  <c r="Z177" i="17"/>
  <c r="AA177" i="17" s="1"/>
  <c r="AC177" i="17" s="1"/>
  <c r="AA176" i="17"/>
  <c r="AC176" i="17" s="1"/>
  <c r="Z176" i="17"/>
  <c r="Z175" i="17"/>
  <c r="AA175" i="17" s="1"/>
  <c r="AC175" i="17" s="1"/>
  <c r="Z174" i="17"/>
  <c r="AA174" i="17" s="1"/>
  <c r="AC174" i="17" s="1"/>
  <c r="Z173" i="17"/>
  <c r="AA173" i="17" s="1"/>
  <c r="AC173" i="17" s="1"/>
  <c r="Z156" i="17"/>
  <c r="AA156" i="17" s="1"/>
  <c r="AC156" i="17" s="1"/>
  <c r="AA154" i="17"/>
  <c r="AC154" i="17" s="1"/>
  <c r="Z154" i="17"/>
  <c r="Z153" i="17"/>
  <c r="AA153" i="17" s="1"/>
  <c r="AC153" i="17" s="1"/>
  <c r="Z152" i="17"/>
  <c r="AA152" i="17" s="1"/>
  <c r="AC152" i="17" s="1"/>
  <c r="AC151" i="17"/>
  <c r="AA151" i="17"/>
  <c r="Z151" i="17"/>
  <c r="AA150" i="17"/>
  <c r="AC150" i="17" s="1"/>
  <c r="Z150" i="17"/>
  <c r="Z149" i="17"/>
  <c r="AA149" i="17" s="1"/>
  <c r="AC149" i="17" s="1"/>
  <c r="Z148" i="17"/>
  <c r="AA148" i="17" s="1"/>
  <c r="AC148" i="17" s="1"/>
  <c r="AC147" i="17"/>
  <c r="AA147" i="17"/>
  <c r="Z147" i="17"/>
  <c r="Z146" i="17"/>
  <c r="AA146" i="17" s="1"/>
  <c r="AC146" i="17" s="1"/>
  <c r="Z145" i="17"/>
  <c r="AA145" i="17" s="1"/>
  <c r="AC145" i="17" s="1"/>
  <c r="Z144" i="17"/>
  <c r="AA144" i="17" s="1"/>
  <c r="AC144" i="17" s="1"/>
  <c r="AA143" i="17"/>
  <c r="AC143" i="17" s="1"/>
  <c r="Z143" i="17"/>
  <c r="Z142" i="17"/>
  <c r="AA142" i="17" s="1"/>
  <c r="AC142" i="17" s="1"/>
  <c r="Z141" i="17"/>
  <c r="AA141" i="17" s="1"/>
  <c r="AC141" i="17" s="1"/>
  <c r="Z140" i="17"/>
  <c r="AA140" i="17" s="1"/>
  <c r="AC140" i="17" s="1"/>
  <c r="Z123" i="17"/>
  <c r="AA123" i="17" s="1"/>
  <c r="AC123" i="17" s="1"/>
  <c r="AA121" i="17"/>
  <c r="AC121" i="17" s="1"/>
  <c r="Z121" i="17"/>
  <c r="Z120" i="17"/>
  <c r="AA120" i="17" s="1"/>
  <c r="AC120" i="17" s="1"/>
  <c r="Z119" i="17"/>
  <c r="AA119" i="17" s="1"/>
  <c r="AC119" i="17" s="1"/>
  <c r="AC118" i="17"/>
  <c r="AA118" i="17"/>
  <c r="Z118" i="17"/>
  <c r="AA117" i="17"/>
  <c r="AC117" i="17" s="1"/>
  <c r="Z117" i="17"/>
  <c r="Z116" i="17"/>
  <c r="AA116" i="17" s="1"/>
  <c r="AC116" i="17" s="1"/>
  <c r="Z115" i="17"/>
  <c r="AA115" i="17" s="1"/>
  <c r="AC115" i="17" s="1"/>
  <c r="AC114" i="17"/>
  <c r="AA114" i="17"/>
  <c r="Z114" i="17"/>
  <c r="Z113" i="17"/>
  <c r="AA113" i="17" s="1"/>
  <c r="AC113" i="17" s="1"/>
  <c r="Z112" i="17"/>
  <c r="AA112" i="17" s="1"/>
  <c r="AC112" i="17" s="1"/>
  <c r="Z111" i="17"/>
  <c r="AA111" i="17" s="1"/>
  <c r="AC111" i="17" s="1"/>
  <c r="AA110" i="17"/>
  <c r="AC110" i="17" s="1"/>
  <c r="Z110" i="17"/>
  <c r="Z109" i="17"/>
  <c r="AA109" i="17" s="1"/>
  <c r="AC109" i="17" s="1"/>
  <c r="Z108" i="17"/>
  <c r="AA108" i="17" s="1"/>
  <c r="AC108" i="17" s="1"/>
  <c r="Z107" i="17"/>
  <c r="AA107" i="17" s="1"/>
  <c r="AC107" i="17" s="1"/>
  <c r="Z90" i="17"/>
  <c r="AA90" i="17" s="1"/>
  <c r="AC90" i="17" s="1"/>
  <c r="AA88" i="17"/>
  <c r="AC88" i="17" s="1"/>
  <c r="Z88" i="17"/>
  <c r="Z87" i="17"/>
  <c r="AA87" i="17" s="1"/>
  <c r="AC87" i="17" s="1"/>
  <c r="Z86" i="17"/>
  <c r="AA86" i="17" s="1"/>
  <c r="AC86" i="17" s="1"/>
  <c r="AC85" i="17"/>
  <c r="AA85" i="17"/>
  <c r="Z85" i="17"/>
  <c r="AA84" i="17"/>
  <c r="AC84" i="17" s="1"/>
  <c r="Z84" i="17"/>
  <c r="Z83" i="17"/>
  <c r="AA83" i="17" s="1"/>
  <c r="AC83" i="17" s="1"/>
  <c r="Z82" i="17"/>
  <c r="AA82" i="17" s="1"/>
  <c r="AC82" i="17" s="1"/>
  <c r="AC81" i="17"/>
  <c r="AA81" i="17"/>
  <c r="Z81" i="17"/>
  <c r="Z80" i="17"/>
  <c r="AA80" i="17" s="1"/>
  <c r="AC80" i="17" s="1"/>
  <c r="Z79" i="17"/>
  <c r="AA79" i="17" s="1"/>
  <c r="AC79" i="17" s="1"/>
  <c r="Z78" i="17"/>
  <c r="AA78" i="17" s="1"/>
  <c r="AC78" i="17" s="1"/>
  <c r="AA77" i="17"/>
  <c r="AC77" i="17" s="1"/>
  <c r="Z77" i="17"/>
  <c r="Z76" i="17"/>
  <c r="AA76" i="17" s="1"/>
  <c r="AC76" i="17" s="1"/>
  <c r="Z75" i="17"/>
  <c r="AA75" i="17" s="1"/>
  <c r="Z74" i="17"/>
  <c r="AA74" i="17" s="1"/>
  <c r="AC74" i="17" s="1"/>
  <c r="Z57" i="17"/>
  <c r="AA57" i="17" s="1"/>
  <c r="AC57" i="17" s="1"/>
  <c r="Z55" i="17"/>
  <c r="AA55" i="17" s="1"/>
  <c r="AC55" i="17" s="1"/>
  <c r="Z54" i="17"/>
  <c r="AA54" i="17" s="1"/>
  <c r="AC54" i="17" s="1"/>
  <c r="Z53" i="17"/>
  <c r="AA53" i="17" s="1"/>
  <c r="AC53" i="17" s="1"/>
  <c r="AC52" i="17"/>
  <c r="AA52" i="17"/>
  <c r="Z52" i="17"/>
  <c r="Z51" i="17"/>
  <c r="AA51" i="17" s="1"/>
  <c r="AC51" i="17" s="1"/>
  <c r="Z50" i="17"/>
  <c r="AA50" i="17" s="1"/>
  <c r="AC50" i="17" s="1"/>
  <c r="Z49" i="17"/>
  <c r="AA49" i="17" s="1"/>
  <c r="AC49" i="17" s="1"/>
  <c r="AC48" i="17"/>
  <c r="AA48" i="17"/>
  <c r="Z48" i="17"/>
  <c r="Z47" i="17"/>
  <c r="AA47" i="17" s="1"/>
  <c r="AC47" i="17" s="1"/>
  <c r="Z46" i="17"/>
  <c r="AA46" i="17" s="1"/>
  <c r="AC46" i="17" s="1"/>
  <c r="Z45" i="17"/>
  <c r="AA45" i="17" s="1"/>
  <c r="AC45" i="17" s="1"/>
  <c r="AA44" i="17"/>
  <c r="AC44" i="17" s="1"/>
  <c r="Z44" i="17"/>
  <c r="Z43" i="17"/>
  <c r="AA43" i="17" s="1"/>
  <c r="AC43" i="17" s="1"/>
  <c r="Z42" i="17"/>
  <c r="AA42" i="17" s="1"/>
  <c r="Z41" i="17"/>
  <c r="AA41" i="17" s="1"/>
  <c r="AC41" i="17" s="1"/>
  <c r="Z384" i="17" l="1"/>
  <c r="AA384" i="17" s="1"/>
  <c r="AC384" i="17" s="1"/>
  <c r="Z353" i="17"/>
  <c r="AA353" i="17" s="1"/>
  <c r="AC353" i="17" s="1"/>
  <c r="Z320" i="17"/>
  <c r="AA320" i="17" s="1"/>
  <c r="AC320" i="17" s="1"/>
  <c r="Z287" i="17"/>
  <c r="AA287" i="17" s="1"/>
  <c r="AC287" i="17" s="1"/>
  <c r="Z254" i="17"/>
  <c r="AA254" i="17" s="1"/>
  <c r="AC254" i="17" s="1"/>
  <c r="Z221" i="17"/>
  <c r="AA221" i="17" s="1"/>
  <c r="AC221" i="17" s="1"/>
  <c r="Z188" i="17"/>
  <c r="AA188" i="17" s="1"/>
  <c r="AC188" i="17" s="1"/>
  <c r="Z155" i="17"/>
  <c r="AA155" i="17" s="1"/>
  <c r="AC155" i="17" s="1"/>
  <c r="Z122" i="17"/>
  <c r="AA122" i="17" s="1"/>
  <c r="AC122" i="17" s="1"/>
  <c r="Z89" i="17"/>
  <c r="AA89" i="17" s="1"/>
  <c r="AC89" i="17" s="1"/>
  <c r="Z56" i="17"/>
  <c r="AA56" i="17" s="1"/>
  <c r="Y35" i="14"/>
  <c r="W35" i="14"/>
  <c r="S35" i="14"/>
  <c r="U35" i="14" s="1"/>
  <c r="W261" i="14" l="1"/>
  <c r="S261" i="14"/>
  <c r="U261" i="14" s="1"/>
  <c r="W398" i="14"/>
  <c r="S398" i="14"/>
  <c r="U398" i="14" s="1"/>
  <c r="W389" i="14"/>
  <c r="S389" i="14"/>
  <c r="U389" i="14" s="1"/>
  <c r="W388" i="14"/>
  <c r="U388" i="14"/>
  <c r="S388" i="14"/>
  <c r="W396" i="14"/>
  <c r="S396" i="14"/>
  <c r="U396" i="14" s="1"/>
  <c r="W395" i="14"/>
  <c r="U395" i="14"/>
  <c r="S395" i="14"/>
  <c r="W394" i="14"/>
  <c r="S394" i="14"/>
  <c r="U394" i="14" s="1"/>
  <c r="W393" i="14"/>
  <c r="S393" i="14"/>
  <c r="U393" i="14" s="1"/>
  <c r="W392" i="14"/>
  <c r="S392" i="14"/>
  <c r="U392" i="14" s="1"/>
  <c r="W391" i="14"/>
  <c r="U391" i="14"/>
  <c r="S391" i="14"/>
  <c r="W359" i="14"/>
  <c r="S359" i="14"/>
  <c r="U359" i="14" s="1"/>
  <c r="W358" i="14"/>
  <c r="S358" i="14"/>
  <c r="U358" i="14" s="1"/>
  <c r="W357" i="14"/>
  <c r="U357" i="14"/>
  <c r="S357" i="14"/>
  <c r="W351" i="14"/>
  <c r="S351" i="14"/>
  <c r="U351" i="14" s="1"/>
  <c r="W350" i="14"/>
  <c r="U350" i="14"/>
  <c r="S350" i="14"/>
  <c r="W347" i="14"/>
  <c r="S347" i="14"/>
  <c r="U347" i="14" s="1"/>
  <c r="W344" i="14"/>
  <c r="U344" i="14"/>
  <c r="S344" i="14"/>
  <c r="W343" i="14"/>
  <c r="S343" i="14"/>
  <c r="U343" i="14" s="1"/>
  <c r="W337" i="14"/>
  <c r="S337" i="14"/>
  <c r="U337" i="14" s="1"/>
  <c r="S334" i="14"/>
  <c r="U334" i="14" s="1"/>
  <c r="W334" i="14"/>
  <c r="W328" i="14"/>
  <c r="S328" i="14"/>
  <c r="U328" i="14" s="1"/>
  <c r="W327" i="14"/>
  <c r="U327" i="14"/>
  <c r="S327" i="14"/>
  <c r="W321" i="14"/>
  <c r="S321" i="14"/>
  <c r="U321" i="14" s="1"/>
  <c r="W320" i="14"/>
  <c r="U320" i="14"/>
  <c r="S320" i="14"/>
  <c r="W298" i="14"/>
  <c r="W297" i="14"/>
  <c r="W314" i="14"/>
  <c r="W313" i="14"/>
  <c r="W315" i="14"/>
  <c r="S315" i="14"/>
  <c r="U315" i="14" s="1"/>
  <c r="S314" i="14"/>
  <c r="U314" i="14" s="1"/>
  <c r="U313" i="14"/>
  <c r="S313" i="14"/>
  <c r="W307" i="14"/>
  <c r="S307" i="14"/>
  <c r="U307" i="14" s="1"/>
  <c r="W306" i="14"/>
  <c r="U306" i="14"/>
  <c r="S306" i="14"/>
  <c r="S298" i="14"/>
  <c r="U298" i="14" s="1"/>
  <c r="U297" i="14"/>
  <c r="S297" i="14"/>
  <c r="W291" i="14"/>
  <c r="S291" i="14"/>
  <c r="U291" i="14" s="1"/>
  <c r="W290" i="14"/>
  <c r="U290" i="14"/>
  <c r="S290" i="14"/>
  <c r="W284" i="14"/>
  <c r="S284" i="14"/>
  <c r="U284" i="14" s="1"/>
  <c r="W283" i="14"/>
  <c r="U283" i="14"/>
  <c r="S283" i="14"/>
  <c r="W277" i="14"/>
  <c r="W276" i="14"/>
  <c r="S277" i="14"/>
  <c r="U277" i="14" s="1"/>
  <c r="U276" i="14"/>
  <c r="S276" i="14"/>
  <c r="W260" i="14"/>
  <c r="S260" i="14"/>
  <c r="U260" i="14" s="1"/>
  <c r="W259" i="14"/>
  <c r="U259" i="14"/>
  <c r="S259" i="14"/>
  <c r="W258" i="14"/>
  <c r="S258" i="14"/>
  <c r="U258" i="14" s="1"/>
  <c r="W257" i="14"/>
  <c r="S257" i="14"/>
  <c r="U257" i="14" s="1"/>
  <c r="W256" i="14"/>
  <c r="S256" i="14"/>
  <c r="U256" i="14" s="1"/>
  <c r="W255" i="14"/>
  <c r="U255" i="14"/>
  <c r="S255" i="14"/>
  <c r="W253" i="14"/>
  <c r="S253" i="14"/>
  <c r="U253" i="14" s="1"/>
  <c r="W252" i="14"/>
  <c r="U252" i="14"/>
  <c r="S252" i="14"/>
  <c r="W251" i="14"/>
  <c r="U251" i="14"/>
  <c r="S251" i="14"/>
  <c r="W250" i="14"/>
  <c r="S250" i="14"/>
  <c r="U250" i="14" s="1"/>
  <c r="W249" i="14"/>
  <c r="S249" i="14"/>
  <c r="U249" i="14" s="1"/>
  <c r="W248" i="14"/>
  <c r="U248" i="14"/>
  <c r="S248" i="14"/>
  <c r="W246" i="14"/>
  <c r="S246" i="14"/>
  <c r="U246" i="14" s="1"/>
  <c r="W245" i="14"/>
  <c r="U245" i="14"/>
  <c r="S245" i="14"/>
  <c r="W244" i="14"/>
  <c r="U244" i="14"/>
  <c r="S244" i="14"/>
  <c r="W243" i="14"/>
  <c r="S243" i="14"/>
  <c r="U243" i="14" s="1"/>
  <c r="W242" i="14"/>
  <c r="S242" i="14"/>
  <c r="U242" i="14" s="1"/>
  <c r="W240" i="14"/>
  <c r="S240" i="14"/>
  <c r="U240" i="14" s="1"/>
  <c r="W239" i="14"/>
  <c r="U239" i="14"/>
  <c r="S239" i="14"/>
  <c r="W238" i="14"/>
  <c r="S238" i="14"/>
  <c r="U238" i="14" s="1"/>
  <c r="W235" i="14"/>
  <c r="S235" i="14"/>
  <c r="U235" i="14" s="1"/>
  <c r="W234" i="14"/>
  <c r="U234" i="14"/>
  <c r="S234" i="14"/>
  <c r="W233" i="14"/>
  <c r="S233" i="14"/>
  <c r="U233" i="14" s="1"/>
  <c r="W232" i="14"/>
  <c r="S232" i="14"/>
  <c r="U232" i="14" s="1"/>
  <c r="W230" i="14"/>
  <c r="S230" i="14"/>
  <c r="U230" i="14" s="1"/>
  <c r="W229" i="14"/>
  <c r="U229" i="14"/>
  <c r="S229" i="14"/>
  <c r="W228" i="14"/>
  <c r="U228" i="14"/>
  <c r="S228" i="14"/>
  <c r="W227" i="14"/>
  <c r="S227" i="14"/>
  <c r="U227" i="14" s="1"/>
  <c r="W226" i="14"/>
  <c r="S226" i="14"/>
  <c r="U226" i="14" s="1"/>
  <c r="W225" i="14"/>
  <c r="U225" i="14"/>
  <c r="S225" i="14"/>
  <c r="W223" i="14"/>
  <c r="S223" i="14"/>
  <c r="U223" i="14" s="1"/>
  <c r="W222" i="14"/>
  <c r="U222" i="14"/>
  <c r="S222" i="14"/>
  <c r="W221" i="14"/>
  <c r="U221" i="14"/>
  <c r="S221" i="14"/>
  <c r="W220" i="14"/>
  <c r="S220" i="14"/>
  <c r="U220" i="14" s="1"/>
  <c r="W219" i="14"/>
  <c r="S219" i="14"/>
  <c r="U219" i="14" s="1"/>
  <c r="W217" i="14"/>
  <c r="S217" i="14"/>
  <c r="U217" i="14" s="1"/>
  <c r="W216" i="14"/>
  <c r="U216" i="14"/>
  <c r="S216" i="14"/>
  <c r="W215" i="14"/>
  <c r="U215" i="14"/>
  <c r="S215" i="14"/>
  <c r="W214" i="14"/>
  <c r="S214" i="14"/>
  <c r="U214" i="14" s="1"/>
  <c r="W213" i="14"/>
  <c r="S213" i="14"/>
  <c r="U213" i="14" s="1"/>
  <c r="W212" i="14"/>
  <c r="U212" i="14"/>
  <c r="S212" i="14"/>
  <c r="W211" i="14"/>
  <c r="S211" i="14"/>
  <c r="U211" i="14" s="1"/>
  <c r="W209" i="14"/>
  <c r="S209" i="14"/>
  <c r="U209" i="14" s="1"/>
  <c r="W208" i="14"/>
  <c r="U208" i="14"/>
  <c r="S208" i="14"/>
  <c r="W207" i="14"/>
  <c r="S207" i="14"/>
  <c r="U207" i="14" s="1"/>
  <c r="W206" i="14"/>
  <c r="S206" i="14"/>
  <c r="U206" i="14" s="1"/>
  <c r="W205" i="14"/>
  <c r="S205" i="14"/>
  <c r="U205" i="14" s="1"/>
  <c r="W201" i="14"/>
  <c r="S201" i="14"/>
  <c r="U201" i="14" s="1"/>
  <c r="W199" i="14"/>
  <c r="S199" i="14"/>
  <c r="U199" i="14" s="1"/>
  <c r="W198" i="14"/>
  <c r="S198" i="14"/>
  <c r="U198" i="14" s="1"/>
  <c r="W197" i="14"/>
  <c r="U197" i="14"/>
  <c r="S197" i="14"/>
  <c r="W196" i="14"/>
  <c r="S196" i="14"/>
  <c r="U196" i="14" s="1"/>
  <c r="W195" i="14"/>
  <c r="S195" i="14"/>
  <c r="U195" i="14" s="1"/>
  <c r="W194" i="14"/>
  <c r="S194" i="14"/>
  <c r="U194" i="14" s="1"/>
  <c r="W192" i="14"/>
  <c r="S192" i="14"/>
  <c r="U192" i="14" s="1"/>
  <c r="W191" i="14"/>
  <c r="U191" i="14"/>
  <c r="S191" i="14"/>
  <c r="W190" i="14"/>
  <c r="U190" i="14"/>
  <c r="S190" i="14"/>
  <c r="W189" i="14"/>
  <c r="S189" i="14"/>
  <c r="U189" i="14" s="1"/>
  <c r="W188" i="14"/>
  <c r="S188" i="14"/>
  <c r="U188" i="14" s="1"/>
  <c r="W186" i="14"/>
  <c r="S186" i="14"/>
  <c r="U186" i="14" s="1"/>
  <c r="W185" i="14"/>
  <c r="S185" i="14"/>
  <c r="U185" i="14" s="1"/>
  <c r="W184" i="14"/>
  <c r="U184" i="14"/>
  <c r="S184" i="14"/>
  <c r="W183" i="14"/>
  <c r="U183" i="14"/>
  <c r="S183" i="14"/>
  <c r="W182" i="14"/>
  <c r="S182" i="14"/>
  <c r="U182" i="14" s="1"/>
  <c r="W181" i="14"/>
  <c r="S181" i="14"/>
  <c r="U181" i="14" s="1"/>
  <c r="W180" i="14"/>
  <c r="U180" i="14"/>
  <c r="S180" i="14"/>
  <c r="W178" i="14"/>
  <c r="S178" i="14"/>
  <c r="U178" i="14" s="1"/>
  <c r="W177" i="14"/>
  <c r="U177" i="14"/>
  <c r="S177" i="14"/>
  <c r="W162" i="14"/>
  <c r="S162" i="14"/>
  <c r="U162" i="14" s="1"/>
  <c r="W161" i="14"/>
  <c r="U161" i="14"/>
  <c r="S161" i="14"/>
  <c r="W160" i="14"/>
  <c r="S160" i="14"/>
  <c r="U160" i="14" s="1"/>
  <c r="W159" i="14"/>
  <c r="S159" i="14"/>
  <c r="U159" i="14" s="1"/>
  <c r="W158" i="14"/>
  <c r="S158" i="14"/>
  <c r="U158" i="14" s="1"/>
  <c r="W157" i="14"/>
  <c r="U157" i="14"/>
  <c r="S157" i="14"/>
  <c r="W155" i="14"/>
  <c r="S155" i="14"/>
  <c r="U155" i="14" s="1"/>
  <c r="W154" i="14"/>
  <c r="U154" i="14"/>
  <c r="S154" i="14"/>
  <c r="W153" i="14"/>
  <c r="U153" i="14"/>
  <c r="S153" i="14"/>
  <c r="W152" i="14"/>
  <c r="S152" i="14"/>
  <c r="U152" i="14" s="1"/>
  <c r="W151" i="14"/>
  <c r="S151" i="14"/>
  <c r="U151" i="14" s="1"/>
  <c r="W149" i="14"/>
  <c r="S149" i="14"/>
  <c r="U149" i="14" s="1"/>
  <c r="W148" i="14"/>
  <c r="U148" i="14"/>
  <c r="S148" i="14"/>
  <c r="W147" i="14"/>
  <c r="U147" i="14"/>
  <c r="S147" i="14"/>
  <c r="W146" i="14"/>
  <c r="S146" i="14"/>
  <c r="U146" i="14" s="1"/>
  <c r="W145" i="14"/>
  <c r="S145" i="14"/>
  <c r="U145" i="14" s="1"/>
  <c r="W144" i="14"/>
  <c r="U144" i="14"/>
  <c r="S144" i="14"/>
  <c r="W143" i="14"/>
  <c r="S143" i="14"/>
  <c r="U143" i="14" s="1"/>
  <c r="W141" i="14"/>
  <c r="S141" i="14"/>
  <c r="U141" i="14" s="1"/>
  <c r="W140" i="14"/>
  <c r="U140" i="14"/>
  <c r="S140" i="14"/>
  <c r="W139" i="14"/>
  <c r="S139" i="14"/>
  <c r="U139" i="14" s="1"/>
  <c r="W136" i="14"/>
  <c r="S136" i="14"/>
  <c r="U136" i="14" s="1"/>
  <c r="W135" i="14"/>
  <c r="U135" i="14"/>
  <c r="S135" i="14"/>
  <c r="W134" i="14"/>
  <c r="S134" i="14"/>
  <c r="U134" i="14" s="1"/>
  <c r="W132" i="14"/>
  <c r="S132" i="14"/>
  <c r="U132" i="14" s="1"/>
  <c r="W131" i="14"/>
  <c r="U131" i="14"/>
  <c r="S131" i="14"/>
  <c r="W130" i="14"/>
  <c r="S130" i="14"/>
  <c r="U130" i="14" s="1"/>
  <c r="W129" i="14"/>
  <c r="S129" i="14"/>
  <c r="U129" i="14" s="1"/>
  <c r="W128" i="14"/>
  <c r="S128" i="14"/>
  <c r="U128" i="14" s="1"/>
  <c r="W126" i="14"/>
  <c r="S126" i="14"/>
  <c r="U126" i="14" s="1"/>
  <c r="W125" i="14"/>
  <c r="S125" i="14"/>
  <c r="U125" i="14" s="1"/>
  <c r="W124" i="14"/>
  <c r="U124" i="14"/>
  <c r="S124" i="14"/>
  <c r="W123" i="14"/>
  <c r="S123" i="14"/>
  <c r="U123" i="14" s="1"/>
  <c r="W122" i="14"/>
  <c r="S122" i="14"/>
  <c r="U122" i="14" s="1"/>
  <c r="W121" i="14"/>
  <c r="S121" i="14"/>
  <c r="U121" i="14" s="1"/>
  <c r="W120" i="14"/>
  <c r="U120" i="14"/>
  <c r="S120" i="14"/>
  <c r="W118" i="14"/>
  <c r="S118" i="14"/>
  <c r="U118" i="14" s="1"/>
  <c r="W117" i="14"/>
  <c r="U117" i="14"/>
  <c r="S117" i="14"/>
  <c r="W116" i="14"/>
  <c r="S116" i="14"/>
  <c r="U116" i="14" s="1"/>
  <c r="W115" i="14"/>
  <c r="S115" i="14"/>
  <c r="U115" i="14" s="1"/>
  <c r="W114" i="14"/>
  <c r="S114" i="14"/>
  <c r="U114" i="14" s="1"/>
  <c r="W113" i="14"/>
  <c r="U113" i="14"/>
  <c r="S113" i="14"/>
  <c r="W111" i="14"/>
  <c r="S111" i="14"/>
  <c r="U111" i="14" s="1"/>
  <c r="W110" i="14"/>
  <c r="U110" i="14"/>
  <c r="S110" i="14"/>
  <c r="W109" i="14"/>
  <c r="S109" i="14"/>
  <c r="U109" i="14" s="1"/>
  <c r="W108" i="14"/>
  <c r="S108" i="14"/>
  <c r="U108" i="14" s="1"/>
  <c r="W107" i="14"/>
  <c r="S107" i="14"/>
  <c r="U107" i="14" s="1"/>
  <c r="W106" i="14"/>
  <c r="U106" i="14"/>
  <c r="S106" i="14"/>
  <c r="W101" i="14"/>
  <c r="S101" i="14"/>
  <c r="U101" i="14" s="1"/>
  <c r="W100" i="14"/>
  <c r="U100" i="14"/>
  <c r="S100" i="14"/>
  <c r="W99" i="14"/>
  <c r="S99" i="14"/>
  <c r="U99" i="14" s="1"/>
  <c r="W98" i="14"/>
  <c r="S98" i="14"/>
  <c r="U98" i="14" s="1"/>
  <c r="W97" i="14"/>
  <c r="S97" i="14"/>
  <c r="U97" i="14" s="1"/>
  <c r="W96" i="14"/>
  <c r="U96" i="14"/>
  <c r="S96" i="14"/>
  <c r="W94" i="14"/>
  <c r="S94" i="14"/>
  <c r="U94" i="14" s="1"/>
  <c r="W93" i="14"/>
  <c r="U93" i="14"/>
  <c r="S93" i="14"/>
  <c r="W92" i="14"/>
  <c r="S92" i="14"/>
  <c r="U92" i="14" s="1"/>
  <c r="W91" i="14"/>
  <c r="S91" i="14"/>
  <c r="U91" i="14" s="1"/>
  <c r="W90" i="14"/>
  <c r="S90" i="14"/>
  <c r="U90" i="14" s="1"/>
  <c r="W89" i="14"/>
  <c r="U89" i="14"/>
  <c r="S89" i="14"/>
  <c r="W87" i="14"/>
  <c r="U87" i="14"/>
  <c r="S87" i="14"/>
  <c r="W86" i="14"/>
  <c r="S86" i="14"/>
  <c r="U86" i="14" s="1"/>
  <c r="W85" i="14"/>
  <c r="U85" i="14"/>
  <c r="S85" i="14"/>
  <c r="W84" i="14"/>
  <c r="S84" i="14"/>
  <c r="U84" i="14" s="1"/>
  <c r="W83" i="14"/>
  <c r="U83" i="14"/>
  <c r="S83" i="14"/>
  <c r="W82" i="14"/>
  <c r="S82" i="14"/>
  <c r="U82" i="14" s="1"/>
  <c r="W80" i="14"/>
  <c r="S80" i="14"/>
  <c r="U80" i="14" s="1"/>
  <c r="W79" i="14"/>
  <c r="U79" i="14"/>
  <c r="S79" i="14"/>
  <c r="W64" i="14"/>
  <c r="S64" i="14"/>
  <c r="U64" i="14" s="1"/>
  <c r="W63" i="14"/>
  <c r="U63" i="14"/>
  <c r="S63" i="14"/>
  <c r="W62" i="14"/>
  <c r="S62" i="14"/>
  <c r="U62" i="14" s="1"/>
  <c r="W61" i="14"/>
  <c r="S61" i="14"/>
  <c r="U61" i="14" s="1"/>
  <c r="W60" i="14"/>
  <c r="S60" i="14"/>
  <c r="U60" i="14" s="1"/>
  <c r="W59" i="14"/>
  <c r="U59" i="14"/>
  <c r="S59" i="14"/>
  <c r="W53" i="14"/>
  <c r="U53" i="14"/>
  <c r="S53" i="14"/>
  <c r="W52" i="14"/>
  <c r="S52" i="14"/>
  <c r="U52" i="14" s="1"/>
  <c r="W57" i="14"/>
  <c r="S57" i="14"/>
  <c r="U57" i="14" s="1"/>
  <c r="W56" i="14"/>
  <c r="U56" i="14"/>
  <c r="S56" i="14"/>
  <c r="W55" i="14"/>
  <c r="S55" i="14"/>
  <c r="U55" i="14" s="1"/>
  <c r="W54" i="14"/>
  <c r="S54" i="14"/>
  <c r="U54" i="14" s="1"/>
  <c r="W50" i="14"/>
  <c r="U50" i="14"/>
  <c r="S50" i="14"/>
  <c r="W49" i="14"/>
  <c r="S49" i="14"/>
  <c r="U49" i="14" s="1"/>
  <c r="W48" i="14"/>
  <c r="U48" i="14"/>
  <c r="S48" i="14"/>
  <c r="W47" i="14"/>
  <c r="S47" i="14"/>
  <c r="U47" i="14" s="1"/>
  <c r="S44" i="14"/>
  <c r="U44" i="14" s="1"/>
  <c r="W44" i="14"/>
  <c r="S45" i="14"/>
  <c r="U45" i="14" s="1"/>
  <c r="W45" i="14"/>
  <c r="W41" i="14"/>
  <c r="S41" i="14"/>
  <c r="U41" i="14" s="1"/>
  <c r="W40" i="14"/>
  <c r="U40" i="14"/>
  <c r="S40" i="14"/>
  <c r="W43" i="14"/>
  <c r="S43" i="14"/>
  <c r="U43" i="14" s="1"/>
  <c r="W42" i="14"/>
  <c r="U42" i="14"/>
  <c r="S42" i="14"/>
  <c r="W36" i="14"/>
  <c r="S36" i="14"/>
  <c r="U36" i="14" s="1"/>
  <c r="W33" i="14"/>
  <c r="S33" i="14"/>
  <c r="U33" i="14" s="1"/>
  <c r="W32" i="14"/>
  <c r="U32" i="14"/>
  <c r="S32" i="14"/>
  <c r="W31" i="14"/>
  <c r="U31" i="14"/>
  <c r="S31" i="14"/>
  <c r="W30" i="14"/>
  <c r="S30" i="14"/>
  <c r="U30" i="14" s="1"/>
  <c r="W29" i="14"/>
  <c r="S29" i="14"/>
  <c r="U29" i="14" s="1"/>
  <c r="W28" i="14"/>
  <c r="U28" i="14"/>
  <c r="S28" i="14"/>
  <c r="W26" i="14"/>
  <c r="S26" i="14"/>
  <c r="U26" i="14" s="1"/>
  <c r="W25" i="14"/>
  <c r="U25" i="14"/>
  <c r="S25" i="14"/>
  <c r="W24" i="14"/>
  <c r="S24" i="14"/>
  <c r="U24" i="14" s="1"/>
  <c r="W23" i="14"/>
  <c r="S23" i="14"/>
  <c r="U23" i="14" s="1"/>
  <c r="W22" i="14"/>
  <c r="S22" i="14"/>
  <c r="U22" i="14" s="1"/>
  <c r="W21" i="14"/>
  <c r="U21" i="14"/>
  <c r="S21" i="14"/>
  <c r="W19" i="14"/>
  <c r="W18" i="14"/>
  <c r="W17" i="14"/>
  <c r="W16" i="14"/>
  <c r="W15" i="14"/>
  <c r="W14" i="14"/>
  <c r="S19" i="14"/>
  <c r="S18" i="14"/>
  <c r="S17" i="14"/>
  <c r="S16" i="14"/>
  <c r="S15" i="14"/>
  <c r="S14" i="14"/>
  <c r="S7" i="14"/>
  <c r="W8" i="14"/>
  <c r="W9" i="14"/>
  <c r="W10" i="14"/>
  <c r="W7" i="14"/>
  <c r="W11" i="14"/>
  <c r="W12" i="14"/>
  <c r="W13" i="14"/>
  <c r="W20" i="14"/>
  <c r="W27" i="14"/>
  <c r="W34" i="14"/>
  <c r="S10" i="14"/>
  <c r="S9" i="14"/>
  <c r="S8" i="14"/>
  <c r="S11" i="14"/>
  <c r="S12" i="14"/>
  <c r="AC7" i="14" l="1"/>
  <c r="AB7" i="14"/>
  <c r="K7" i="14"/>
  <c r="W103" i="14" l="1"/>
  <c r="Q305" i="17" l="1"/>
  <c r="Q302" i="17"/>
  <c r="AB366" i="14" l="1"/>
  <c r="AB335" i="14"/>
  <c r="AB302" i="14"/>
  <c r="AB269" i="14"/>
  <c r="AB236" i="14"/>
  <c r="AB203" i="14"/>
  <c r="AB137" i="14"/>
  <c r="AB104" i="14"/>
  <c r="AB71" i="14"/>
  <c r="AB38" i="14"/>
  <c r="AB37" i="14"/>
  <c r="AC304" i="14"/>
  <c r="R305" i="17" s="1"/>
  <c r="AC301" i="14"/>
  <c r="R302" i="17" s="1"/>
  <c r="Y417" i="17" l="1"/>
  <c r="M399" i="17"/>
  <c r="K399" i="17"/>
  <c r="I399" i="17"/>
  <c r="G399" i="17"/>
  <c r="M398" i="17"/>
  <c r="K398" i="17"/>
  <c r="I398" i="17"/>
  <c r="G398" i="17"/>
  <c r="M397" i="17"/>
  <c r="K397" i="17"/>
  <c r="I397" i="17"/>
  <c r="G397" i="17"/>
  <c r="M396" i="17"/>
  <c r="K396" i="17"/>
  <c r="I396" i="17"/>
  <c r="G396" i="17"/>
  <c r="M395" i="17"/>
  <c r="K395" i="17"/>
  <c r="I395" i="17"/>
  <c r="G395" i="17"/>
  <c r="M394" i="17"/>
  <c r="K394" i="17"/>
  <c r="I394" i="17"/>
  <c r="G394" i="17"/>
  <c r="M393" i="17"/>
  <c r="K393" i="17"/>
  <c r="I393" i="17"/>
  <c r="G393" i="17"/>
  <c r="M392" i="17"/>
  <c r="K392" i="17"/>
  <c r="I392" i="17"/>
  <c r="G392" i="17"/>
  <c r="M391" i="17"/>
  <c r="K391" i="17"/>
  <c r="I391" i="17"/>
  <c r="G391" i="17"/>
  <c r="M390" i="17"/>
  <c r="K390" i="17"/>
  <c r="I390" i="17"/>
  <c r="G390" i="17"/>
  <c r="M389" i="17"/>
  <c r="K389" i="17"/>
  <c r="I389" i="17"/>
  <c r="G389" i="17"/>
  <c r="M388" i="17"/>
  <c r="K388" i="17"/>
  <c r="I388" i="17"/>
  <c r="G388" i="17"/>
  <c r="M387" i="17"/>
  <c r="K387" i="17"/>
  <c r="I387" i="17"/>
  <c r="G387" i="17"/>
  <c r="M386" i="17"/>
  <c r="K386" i="17"/>
  <c r="I386" i="17"/>
  <c r="G386" i="17"/>
  <c r="M385" i="17"/>
  <c r="K385" i="17"/>
  <c r="I385" i="17"/>
  <c r="G385" i="17"/>
  <c r="M384" i="17"/>
  <c r="K384" i="17"/>
  <c r="I384" i="17"/>
  <c r="G384" i="17"/>
  <c r="M383" i="17"/>
  <c r="K383" i="17"/>
  <c r="I383" i="17"/>
  <c r="G383" i="17"/>
  <c r="M382" i="17"/>
  <c r="K382" i="17"/>
  <c r="I382" i="17"/>
  <c r="G382" i="17"/>
  <c r="M381" i="17"/>
  <c r="K381" i="17"/>
  <c r="I381" i="17"/>
  <c r="G381" i="17"/>
  <c r="M380" i="17"/>
  <c r="K380" i="17"/>
  <c r="I380" i="17"/>
  <c r="G380" i="17"/>
  <c r="M379" i="17"/>
  <c r="K379" i="17"/>
  <c r="I379" i="17"/>
  <c r="G379" i="17"/>
  <c r="M378" i="17"/>
  <c r="K378" i="17"/>
  <c r="I378" i="17"/>
  <c r="G378" i="17"/>
  <c r="M377" i="17"/>
  <c r="K377" i="17"/>
  <c r="I377" i="17"/>
  <c r="G377" i="17"/>
  <c r="M376" i="17"/>
  <c r="K376" i="17"/>
  <c r="I376" i="17"/>
  <c r="G376" i="17"/>
  <c r="M375" i="17"/>
  <c r="K375" i="17"/>
  <c r="I375" i="17"/>
  <c r="G375" i="17"/>
  <c r="M374" i="17"/>
  <c r="K374" i="17"/>
  <c r="I374" i="17"/>
  <c r="G374" i="17"/>
  <c r="M373" i="17"/>
  <c r="K373" i="17"/>
  <c r="I373" i="17"/>
  <c r="G373" i="17"/>
  <c r="M372" i="17"/>
  <c r="K372" i="17"/>
  <c r="I372" i="17"/>
  <c r="G372" i="17"/>
  <c r="M371" i="17"/>
  <c r="K371" i="17"/>
  <c r="I371" i="17"/>
  <c r="G371" i="17"/>
  <c r="M370" i="17"/>
  <c r="K370" i="17"/>
  <c r="I370" i="17"/>
  <c r="G370" i="17"/>
  <c r="M369" i="17"/>
  <c r="K369" i="17"/>
  <c r="I369" i="17"/>
  <c r="G369" i="17"/>
  <c r="M366" i="17"/>
  <c r="K366" i="17"/>
  <c r="I366" i="17"/>
  <c r="G366" i="17"/>
  <c r="M365" i="17"/>
  <c r="K365" i="17"/>
  <c r="I365" i="17"/>
  <c r="G365" i="17"/>
  <c r="M364" i="17"/>
  <c r="K364" i="17"/>
  <c r="I364" i="17"/>
  <c r="G364" i="17"/>
  <c r="M363" i="17"/>
  <c r="K363" i="17"/>
  <c r="I363" i="17"/>
  <c r="G363" i="17"/>
  <c r="M362" i="17"/>
  <c r="K362" i="17"/>
  <c r="I362" i="17"/>
  <c r="G362" i="17"/>
  <c r="M361" i="17"/>
  <c r="K361" i="17"/>
  <c r="I361" i="17"/>
  <c r="G361" i="17"/>
  <c r="M360" i="17"/>
  <c r="K360" i="17"/>
  <c r="I360" i="17"/>
  <c r="G360" i="17"/>
  <c r="M359" i="17"/>
  <c r="K359" i="17"/>
  <c r="I359" i="17"/>
  <c r="G359" i="17"/>
  <c r="M358" i="17"/>
  <c r="K358" i="17"/>
  <c r="I358" i="17"/>
  <c r="G358" i="17"/>
  <c r="M357" i="17"/>
  <c r="K357" i="17"/>
  <c r="I357" i="17"/>
  <c r="G357" i="17"/>
  <c r="M356" i="17"/>
  <c r="K356" i="17"/>
  <c r="I356" i="17"/>
  <c r="G356" i="17"/>
  <c r="M355" i="17"/>
  <c r="K355" i="17"/>
  <c r="I355" i="17"/>
  <c r="G355" i="17"/>
  <c r="M354" i="17"/>
  <c r="K354" i="17"/>
  <c r="I354" i="17"/>
  <c r="G354" i="17"/>
  <c r="M353" i="17"/>
  <c r="K353" i="17"/>
  <c r="I353" i="17"/>
  <c r="G353" i="17"/>
  <c r="M352" i="17"/>
  <c r="K352" i="17"/>
  <c r="I352" i="17"/>
  <c r="G352" i="17"/>
  <c r="M351" i="17"/>
  <c r="K351" i="17"/>
  <c r="I351" i="17"/>
  <c r="G351" i="17"/>
  <c r="M350" i="17"/>
  <c r="K350" i="17"/>
  <c r="I350" i="17"/>
  <c r="G350" i="17"/>
  <c r="M349" i="17"/>
  <c r="K349" i="17"/>
  <c r="I349" i="17"/>
  <c r="G349" i="17"/>
  <c r="M348" i="17"/>
  <c r="K348" i="17"/>
  <c r="I348" i="17"/>
  <c r="G348" i="17"/>
  <c r="M347" i="17"/>
  <c r="K347" i="17"/>
  <c r="I347" i="17"/>
  <c r="G347" i="17"/>
  <c r="M346" i="17"/>
  <c r="K346" i="17"/>
  <c r="I346" i="17"/>
  <c r="G346" i="17"/>
  <c r="M345" i="17"/>
  <c r="K345" i="17"/>
  <c r="I345" i="17"/>
  <c r="G345" i="17"/>
  <c r="M344" i="17"/>
  <c r="K344" i="17"/>
  <c r="I344" i="17"/>
  <c r="G344" i="17"/>
  <c r="M343" i="17"/>
  <c r="K343" i="17"/>
  <c r="I343" i="17"/>
  <c r="G343" i="17"/>
  <c r="M342" i="17"/>
  <c r="K342" i="17"/>
  <c r="I342" i="17"/>
  <c r="G342" i="17"/>
  <c r="M341" i="17"/>
  <c r="K341" i="17"/>
  <c r="I341" i="17"/>
  <c r="G341" i="17"/>
  <c r="M340" i="17"/>
  <c r="K340" i="17"/>
  <c r="I340" i="17"/>
  <c r="G340" i="17"/>
  <c r="M339" i="17"/>
  <c r="K339" i="17"/>
  <c r="I339" i="17"/>
  <c r="G339" i="17"/>
  <c r="M338" i="17"/>
  <c r="K338" i="17"/>
  <c r="I338" i="17"/>
  <c r="G338" i="17"/>
  <c r="Q336" i="17"/>
  <c r="M335" i="17"/>
  <c r="K335" i="17"/>
  <c r="I335" i="17"/>
  <c r="G335" i="17"/>
  <c r="M334" i="17"/>
  <c r="K334" i="17"/>
  <c r="I334" i="17"/>
  <c r="G334" i="17"/>
  <c r="M333" i="17"/>
  <c r="K333" i="17"/>
  <c r="I333" i="17"/>
  <c r="G333" i="17"/>
  <c r="M332" i="17"/>
  <c r="K332" i="17"/>
  <c r="I332" i="17"/>
  <c r="G332" i="17"/>
  <c r="M331" i="17"/>
  <c r="K331" i="17"/>
  <c r="I331" i="17"/>
  <c r="G331" i="17"/>
  <c r="M330" i="17"/>
  <c r="K330" i="17"/>
  <c r="I330" i="17"/>
  <c r="G330" i="17"/>
  <c r="M329" i="17"/>
  <c r="K329" i="17"/>
  <c r="I329" i="17"/>
  <c r="G329" i="17"/>
  <c r="M328" i="17"/>
  <c r="K328" i="17"/>
  <c r="I328" i="17"/>
  <c r="G328" i="17"/>
  <c r="M327" i="17"/>
  <c r="K327" i="17"/>
  <c r="I327" i="17"/>
  <c r="G327" i="17"/>
  <c r="M326" i="17"/>
  <c r="K326" i="17"/>
  <c r="I326" i="17"/>
  <c r="G326" i="17"/>
  <c r="M325" i="17"/>
  <c r="K325" i="17"/>
  <c r="I325" i="17"/>
  <c r="G325" i="17"/>
  <c r="M324" i="17"/>
  <c r="K324" i="17"/>
  <c r="I324" i="17"/>
  <c r="G324" i="17"/>
  <c r="M323" i="17"/>
  <c r="K323" i="17"/>
  <c r="I323" i="17"/>
  <c r="G323" i="17"/>
  <c r="M322" i="17"/>
  <c r="K322" i="17"/>
  <c r="I322" i="17"/>
  <c r="G322" i="17"/>
  <c r="M321" i="17"/>
  <c r="K321" i="17"/>
  <c r="I321" i="17"/>
  <c r="G321" i="17"/>
  <c r="M320" i="17"/>
  <c r="K320" i="17"/>
  <c r="I320" i="17"/>
  <c r="G320" i="17"/>
  <c r="M319" i="17"/>
  <c r="K319" i="17"/>
  <c r="I319" i="17"/>
  <c r="G319" i="17"/>
  <c r="M318" i="17"/>
  <c r="K318" i="17"/>
  <c r="I318" i="17"/>
  <c r="G318" i="17"/>
  <c r="M317" i="17"/>
  <c r="K317" i="17"/>
  <c r="I317" i="17"/>
  <c r="G317" i="17"/>
  <c r="M316" i="17"/>
  <c r="K316" i="17"/>
  <c r="I316" i="17"/>
  <c r="G316" i="17"/>
  <c r="M315" i="17"/>
  <c r="K315" i="17"/>
  <c r="I315" i="17"/>
  <c r="G315" i="17"/>
  <c r="M314" i="17"/>
  <c r="K314" i="17"/>
  <c r="I314" i="17"/>
  <c r="G314" i="17"/>
  <c r="M313" i="17"/>
  <c r="K313" i="17"/>
  <c r="I313" i="17"/>
  <c r="G313" i="17"/>
  <c r="M312" i="17"/>
  <c r="K312" i="17"/>
  <c r="I312" i="17"/>
  <c r="G312" i="17"/>
  <c r="M311" i="17"/>
  <c r="K311" i="17"/>
  <c r="I311" i="17"/>
  <c r="G311" i="17"/>
  <c r="M310" i="17"/>
  <c r="K310" i="17"/>
  <c r="I310" i="17"/>
  <c r="G310" i="17"/>
  <c r="M309" i="17"/>
  <c r="K309" i="17"/>
  <c r="I309" i="17"/>
  <c r="G309" i="17"/>
  <c r="M308" i="17"/>
  <c r="K308" i="17"/>
  <c r="I308" i="17"/>
  <c r="G308" i="17"/>
  <c r="M307" i="17"/>
  <c r="K307" i="17"/>
  <c r="I307" i="17"/>
  <c r="G307" i="17"/>
  <c r="M306" i="17"/>
  <c r="K306" i="17"/>
  <c r="I306" i="17"/>
  <c r="G306" i="17"/>
  <c r="M305" i="17"/>
  <c r="K305" i="17"/>
  <c r="I305" i="17"/>
  <c r="G305" i="17"/>
  <c r="Q303" i="17"/>
  <c r="M302" i="17"/>
  <c r="K302" i="17"/>
  <c r="I302" i="17"/>
  <c r="G302" i="17"/>
  <c r="M301" i="17"/>
  <c r="K301" i="17"/>
  <c r="I301" i="17"/>
  <c r="G301" i="17"/>
  <c r="M300" i="17"/>
  <c r="K300" i="17"/>
  <c r="I300" i="17"/>
  <c r="G300" i="17"/>
  <c r="M299" i="17"/>
  <c r="K299" i="17"/>
  <c r="I299" i="17"/>
  <c r="G299" i="17"/>
  <c r="M298" i="17"/>
  <c r="K298" i="17"/>
  <c r="I298" i="17"/>
  <c r="G298" i="17"/>
  <c r="M297" i="17"/>
  <c r="K297" i="17"/>
  <c r="I297" i="17"/>
  <c r="G297" i="17"/>
  <c r="M296" i="17"/>
  <c r="K296" i="17"/>
  <c r="I296" i="17"/>
  <c r="G296" i="17"/>
  <c r="M295" i="17"/>
  <c r="K295" i="17"/>
  <c r="I295" i="17"/>
  <c r="G295" i="17"/>
  <c r="M294" i="17"/>
  <c r="K294" i="17"/>
  <c r="I294" i="17"/>
  <c r="G294" i="17"/>
  <c r="M293" i="17"/>
  <c r="K293" i="17"/>
  <c r="I293" i="17"/>
  <c r="G293" i="17"/>
  <c r="M292" i="17"/>
  <c r="K292" i="17"/>
  <c r="I292" i="17"/>
  <c r="G292" i="17"/>
  <c r="M291" i="17"/>
  <c r="K291" i="17"/>
  <c r="I291" i="17"/>
  <c r="G291" i="17"/>
  <c r="M290" i="17"/>
  <c r="K290" i="17"/>
  <c r="I290" i="17"/>
  <c r="G290" i="17"/>
  <c r="M289" i="17"/>
  <c r="K289" i="17"/>
  <c r="I289" i="17"/>
  <c r="G289" i="17"/>
  <c r="M288" i="17"/>
  <c r="K288" i="17"/>
  <c r="I288" i="17"/>
  <c r="G288" i="17"/>
  <c r="M287" i="17"/>
  <c r="K287" i="17"/>
  <c r="I287" i="17"/>
  <c r="G287" i="17"/>
  <c r="M286" i="17"/>
  <c r="K286" i="17"/>
  <c r="I286" i="17"/>
  <c r="G286" i="17"/>
  <c r="M285" i="17"/>
  <c r="K285" i="17"/>
  <c r="I285" i="17"/>
  <c r="G285" i="17"/>
  <c r="M284" i="17"/>
  <c r="K284" i="17"/>
  <c r="I284" i="17"/>
  <c r="G284" i="17"/>
  <c r="M283" i="17"/>
  <c r="K283" i="17"/>
  <c r="I283" i="17"/>
  <c r="G283" i="17"/>
  <c r="M282" i="17"/>
  <c r="K282" i="17"/>
  <c r="I282" i="17"/>
  <c r="G282" i="17"/>
  <c r="M281" i="17"/>
  <c r="K281" i="17"/>
  <c r="I281" i="17"/>
  <c r="G281" i="17"/>
  <c r="M280" i="17"/>
  <c r="K280" i="17"/>
  <c r="I280" i="17"/>
  <c r="G280" i="17"/>
  <c r="M279" i="17"/>
  <c r="K279" i="17"/>
  <c r="I279" i="17"/>
  <c r="G279" i="17"/>
  <c r="M278" i="17"/>
  <c r="K278" i="17"/>
  <c r="I278" i="17"/>
  <c r="G278" i="17"/>
  <c r="M277" i="17"/>
  <c r="K277" i="17"/>
  <c r="I277" i="17"/>
  <c r="G277" i="17"/>
  <c r="M276" i="17"/>
  <c r="K276" i="17"/>
  <c r="I276" i="17"/>
  <c r="G276" i="17"/>
  <c r="M275" i="17"/>
  <c r="K275" i="17"/>
  <c r="I275" i="17"/>
  <c r="G275" i="17"/>
  <c r="M274" i="17"/>
  <c r="K274" i="17"/>
  <c r="I274" i="17"/>
  <c r="G274" i="17"/>
  <c r="M273" i="17"/>
  <c r="K273" i="17"/>
  <c r="I273" i="17"/>
  <c r="G273" i="17"/>
  <c r="M272" i="17"/>
  <c r="K272" i="17"/>
  <c r="I272" i="17"/>
  <c r="G272" i="17"/>
  <c r="Q270" i="17"/>
  <c r="Q269" i="17"/>
  <c r="M268" i="17"/>
  <c r="K268" i="17"/>
  <c r="I268" i="17"/>
  <c r="G268" i="17"/>
  <c r="M267" i="17"/>
  <c r="K267" i="17"/>
  <c r="I267" i="17"/>
  <c r="G267" i="17"/>
  <c r="M266" i="17"/>
  <c r="K266" i="17"/>
  <c r="I266" i="17"/>
  <c r="G266" i="17"/>
  <c r="M265" i="17"/>
  <c r="K265" i="17"/>
  <c r="I265" i="17"/>
  <c r="G265" i="17"/>
  <c r="M264" i="17"/>
  <c r="K264" i="17"/>
  <c r="I264" i="17"/>
  <c r="G264" i="17"/>
  <c r="M263" i="17"/>
  <c r="K263" i="17"/>
  <c r="I263" i="17"/>
  <c r="G263" i="17"/>
  <c r="M262" i="17"/>
  <c r="K262" i="17"/>
  <c r="I262" i="17"/>
  <c r="G262" i="17"/>
  <c r="M261" i="17"/>
  <c r="K261" i="17"/>
  <c r="I261" i="17"/>
  <c r="G261" i="17"/>
  <c r="M260" i="17"/>
  <c r="K260" i="17"/>
  <c r="I260" i="17"/>
  <c r="G260" i="17"/>
  <c r="M259" i="17"/>
  <c r="K259" i="17"/>
  <c r="I259" i="17"/>
  <c r="G259" i="17"/>
  <c r="M258" i="17"/>
  <c r="K258" i="17"/>
  <c r="I258" i="17"/>
  <c r="G258" i="17"/>
  <c r="M257" i="17"/>
  <c r="K257" i="17"/>
  <c r="I257" i="17"/>
  <c r="G257" i="17"/>
  <c r="M256" i="17"/>
  <c r="K256" i="17"/>
  <c r="I256" i="17"/>
  <c r="G256" i="17"/>
  <c r="M255" i="17"/>
  <c r="K255" i="17"/>
  <c r="I255" i="17"/>
  <c r="G255" i="17"/>
  <c r="M254" i="17"/>
  <c r="K254" i="17"/>
  <c r="I254" i="17"/>
  <c r="G254" i="17"/>
  <c r="M253" i="17"/>
  <c r="K253" i="17"/>
  <c r="I253" i="17"/>
  <c r="G253" i="17"/>
  <c r="M252" i="17"/>
  <c r="K252" i="17"/>
  <c r="I252" i="17"/>
  <c r="G252" i="17"/>
  <c r="M251" i="17"/>
  <c r="K251" i="17"/>
  <c r="I251" i="17"/>
  <c r="G251" i="17"/>
  <c r="M250" i="17"/>
  <c r="K250" i="17"/>
  <c r="I250" i="17"/>
  <c r="G250" i="17"/>
  <c r="M249" i="17"/>
  <c r="K249" i="17"/>
  <c r="I249" i="17"/>
  <c r="G249" i="17"/>
  <c r="M248" i="17"/>
  <c r="K248" i="17"/>
  <c r="I248" i="17"/>
  <c r="G248" i="17"/>
  <c r="M247" i="17"/>
  <c r="K247" i="17"/>
  <c r="I247" i="17"/>
  <c r="G247" i="17"/>
  <c r="M246" i="17"/>
  <c r="K246" i="17"/>
  <c r="I246" i="17"/>
  <c r="G246" i="17"/>
  <c r="M245" i="17"/>
  <c r="K245" i="17"/>
  <c r="I245" i="17"/>
  <c r="G245" i="17"/>
  <c r="M244" i="17"/>
  <c r="K244" i="17"/>
  <c r="I244" i="17"/>
  <c r="G244" i="17"/>
  <c r="M243" i="17"/>
  <c r="K243" i="17"/>
  <c r="I243" i="17"/>
  <c r="G243" i="17"/>
  <c r="M242" i="17"/>
  <c r="K242" i="17"/>
  <c r="I242" i="17"/>
  <c r="G242" i="17"/>
  <c r="M241" i="17"/>
  <c r="K241" i="17"/>
  <c r="I241" i="17"/>
  <c r="G241" i="17"/>
  <c r="M240" i="17"/>
  <c r="K240" i="17"/>
  <c r="I240" i="17"/>
  <c r="G240" i="17"/>
  <c r="M239" i="17"/>
  <c r="K239" i="17"/>
  <c r="I239" i="17"/>
  <c r="G239" i="17"/>
  <c r="Q237" i="17"/>
  <c r="M236" i="17"/>
  <c r="K236" i="17"/>
  <c r="I236" i="17"/>
  <c r="G236" i="17"/>
  <c r="M235" i="17"/>
  <c r="K235" i="17"/>
  <c r="I235" i="17"/>
  <c r="G235" i="17"/>
  <c r="M234" i="17"/>
  <c r="K234" i="17"/>
  <c r="I234" i="17"/>
  <c r="G234" i="17"/>
  <c r="M233" i="17"/>
  <c r="K233" i="17"/>
  <c r="I233" i="17"/>
  <c r="G233" i="17"/>
  <c r="M232" i="17"/>
  <c r="K232" i="17"/>
  <c r="I232" i="17"/>
  <c r="G232" i="17"/>
  <c r="M231" i="17"/>
  <c r="K231" i="17"/>
  <c r="I231" i="17"/>
  <c r="G231" i="17"/>
  <c r="M230" i="17"/>
  <c r="K230" i="17"/>
  <c r="I230" i="17"/>
  <c r="G230" i="17"/>
  <c r="M229" i="17"/>
  <c r="K229" i="17"/>
  <c r="I229" i="17"/>
  <c r="G229" i="17"/>
  <c r="M228" i="17"/>
  <c r="K228" i="17"/>
  <c r="I228" i="17"/>
  <c r="G228" i="17"/>
  <c r="M227" i="17"/>
  <c r="K227" i="17"/>
  <c r="I227" i="17"/>
  <c r="G227" i="17"/>
  <c r="M226" i="17"/>
  <c r="K226" i="17"/>
  <c r="I226" i="17"/>
  <c r="G226" i="17"/>
  <c r="M225" i="17"/>
  <c r="K225" i="17"/>
  <c r="I225" i="17"/>
  <c r="G225" i="17"/>
  <c r="M224" i="17"/>
  <c r="K224" i="17"/>
  <c r="I224" i="17"/>
  <c r="G224" i="17"/>
  <c r="M223" i="17"/>
  <c r="K223" i="17"/>
  <c r="I223" i="17"/>
  <c r="G223" i="17"/>
  <c r="M222" i="17"/>
  <c r="K222" i="17"/>
  <c r="I222" i="17"/>
  <c r="G222" i="17"/>
  <c r="M221" i="17"/>
  <c r="K221" i="17"/>
  <c r="I221" i="17"/>
  <c r="G221" i="17"/>
  <c r="M220" i="17"/>
  <c r="K220" i="17"/>
  <c r="I220" i="17"/>
  <c r="G220" i="17"/>
  <c r="M219" i="17"/>
  <c r="K219" i="17"/>
  <c r="I219" i="17"/>
  <c r="G219" i="17"/>
  <c r="M218" i="17"/>
  <c r="K218" i="17"/>
  <c r="I218" i="17"/>
  <c r="G218" i="17"/>
  <c r="M217" i="17"/>
  <c r="K217" i="17"/>
  <c r="I217" i="17"/>
  <c r="G217" i="17"/>
  <c r="M216" i="17"/>
  <c r="K216" i="17"/>
  <c r="I216" i="17"/>
  <c r="G216" i="17"/>
  <c r="M215" i="17"/>
  <c r="K215" i="17"/>
  <c r="I215" i="17"/>
  <c r="G215" i="17"/>
  <c r="M214" i="17"/>
  <c r="K214" i="17"/>
  <c r="I214" i="17"/>
  <c r="G214" i="17"/>
  <c r="M213" i="17"/>
  <c r="K213" i="17"/>
  <c r="I213" i="17"/>
  <c r="G213" i="17"/>
  <c r="M212" i="17"/>
  <c r="K212" i="17"/>
  <c r="I212" i="17"/>
  <c r="G212" i="17"/>
  <c r="M211" i="17"/>
  <c r="K211" i="17"/>
  <c r="I211" i="17"/>
  <c r="G211" i="17"/>
  <c r="M210" i="17"/>
  <c r="K210" i="17"/>
  <c r="I210" i="17"/>
  <c r="G210" i="17"/>
  <c r="M209" i="17"/>
  <c r="K209" i="17"/>
  <c r="I209" i="17"/>
  <c r="G209" i="17"/>
  <c r="M208" i="17"/>
  <c r="K208" i="17"/>
  <c r="I208" i="17"/>
  <c r="G208" i="17"/>
  <c r="M207" i="17"/>
  <c r="K207" i="17"/>
  <c r="I207" i="17"/>
  <c r="G207" i="17"/>
  <c r="M206" i="17"/>
  <c r="K206" i="17"/>
  <c r="I206" i="17"/>
  <c r="G206" i="17"/>
  <c r="Q204" i="17"/>
  <c r="Q203" i="17"/>
  <c r="M202" i="17"/>
  <c r="K202" i="17"/>
  <c r="I202" i="17"/>
  <c r="G202" i="17"/>
  <c r="M201" i="17"/>
  <c r="K201" i="17"/>
  <c r="I201" i="17"/>
  <c r="G201" i="17"/>
  <c r="M200" i="17"/>
  <c r="K200" i="17"/>
  <c r="I200" i="17"/>
  <c r="G200" i="17"/>
  <c r="M199" i="17"/>
  <c r="K199" i="17"/>
  <c r="I199" i="17"/>
  <c r="G199" i="17"/>
  <c r="M198" i="17"/>
  <c r="K198" i="17"/>
  <c r="I198" i="17"/>
  <c r="G198" i="17"/>
  <c r="M197" i="17"/>
  <c r="K197" i="17"/>
  <c r="I197" i="17"/>
  <c r="G197" i="17"/>
  <c r="M196" i="17"/>
  <c r="K196" i="17"/>
  <c r="I196" i="17"/>
  <c r="G196" i="17"/>
  <c r="M195" i="17"/>
  <c r="K195" i="17"/>
  <c r="I195" i="17"/>
  <c r="G195" i="17"/>
  <c r="M194" i="17"/>
  <c r="K194" i="17"/>
  <c r="I194" i="17"/>
  <c r="G194" i="17"/>
  <c r="M193" i="17"/>
  <c r="K193" i="17"/>
  <c r="I193" i="17"/>
  <c r="G193" i="17"/>
  <c r="M192" i="17"/>
  <c r="K192" i="17"/>
  <c r="I192" i="17"/>
  <c r="G192" i="17"/>
  <c r="M191" i="17"/>
  <c r="K191" i="17"/>
  <c r="I191" i="17"/>
  <c r="G191" i="17"/>
  <c r="M190" i="17"/>
  <c r="K190" i="17"/>
  <c r="I190" i="17"/>
  <c r="G190" i="17"/>
  <c r="M189" i="17"/>
  <c r="K189" i="17"/>
  <c r="I189" i="17"/>
  <c r="G189" i="17"/>
  <c r="M188" i="17"/>
  <c r="K188" i="17"/>
  <c r="I188" i="17"/>
  <c r="G188" i="17"/>
  <c r="M187" i="17"/>
  <c r="K187" i="17"/>
  <c r="I187" i="17"/>
  <c r="G187" i="17"/>
  <c r="M186" i="17"/>
  <c r="K186" i="17"/>
  <c r="I186" i="17"/>
  <c r="G186" i="17"/>
  <c r="M185" i="17"/>
  <c r="K185" i="17"/>
  <c r="I185" i="17"/>
  <c r="G185" i="17"/>
  <c r="M184" i="17"/>
  <c r="K184" i="17"/>
  <c r="I184" i="17"/>
  <c r="G184" i="17"/>
  <c r="M183" i="17"/>
  <c r="K183" i="17"/>
  <c r="I183" i="17"/>
  <c r="G183" i="17"/>
  <c r="M182" i="17"/>
  <c r="K182" i="17"/>
  <c r="I182" i="17"/>
  <c r="G182" i="17"/>
  <c r="M181" i="17"/>
  <c r="K181" i="17"/>
  <c r="I181" i="17"/>
  <c r="G181" i="17"/>
  <c r="M180" i="17"/>
  <c r="K180" i="17"/>
  <c r="I180" i="17"/>
  <c r="G180" i="17"/>
  <c r="M179" i="17"/>
  <c r="K179" i="17"/>
  <c r="I179" i="17"/>
  <c r="G179" i="17"/>
  <c r="M178" i="17"/>
  <c r="K178" i="17"/>
  <c r="I178" i="17"/>
  <c r="G178" i="17"/>
  <c r="M177" i="17"/>
  <c r="K177" i="17"/>
  <c r="I177" i="17"/>
  <c r="G177" i="17"/>
  <c r="M176" i="17"/>
  <c r="K176" i="17"/>
  <c r="I176" i="17"/>
  <c r="G176" i="17"/>
  <c r="M175" i="17"/>
  <c r="K175" i="17"/>
  <c r="I175" i="17"/>
  <c r="G175" i="17"/>
  <c r="M174" i="17"/>
  <c r="K174" i="17"/>
  <c r="I174" i="17"/>
  <c r="G174" i="17"/>
  <c r="M173" i="17"/>
  <c r="K173" i="17"/>
  <c r="I173" i="17"/>
  <c r="G173" i="17"/>
  <c r="Q171" i="17"/>
  <c r="M170" i="17"/>
  <c r="K170" i="17"/>
  <c r="I170" i="17"/>
  <c r="G170" i="17"/>
  <c r="M169" i="17"/>
  <c r="K169" i="17"/>
  <c r="I169" i="17"/>
  <c r="G169" i="17"/>
  <c r="M168" i="17"/>
  <c r="K168" i="17"/>
  <c r="I168" i="17"/>
  <c r="G168" i="17"/>
  <c r="M167" i="17"/>
  <c r="K167" i="17"/>
  <c r="I167" i="17"/>
  <c r="G167" i="17"/>
  <c r="M166" i="17"/>
  <c r="K166" i="17"/>
  <c r="I166" i="17"/>
  <c r="G166" i="17"/>
  <c r="M165" i="17"/>
  <c r="K165" i="17"/>
  <c r="I165" i="17"/>
  <c r="G165" i="17"/>
  <c r="M164" i="17"/>
  <c r="K164" i="17"/>
  <c r="I164" i="17"/>
  <c r="G164" i="17"/>
  <c r="M163" i="17"/>
  <c r="K163" i="17"/>
  <c r="I163" i="17"/>
  <c r="G163" i="17"/>
  <c r="M162" i="17"/>
  <c r="K162" i="17"/>
  <c r="I162" i="17"/>
  <c r="G162" i="17"/>
  <c r="M161" i="17"/>
  <c r="K161" i="17"/>
  <c r="I161" i="17"/>
  <c r="G161" i="17"/>
  <c r="M160" i="17"/>
  <c r="K160" i="17"/>
  <c r="I160" i="17"/>
  <c r="G160" i="17"/>
  <c r="M159" i="17"/>
  <c r="K159" i="17"/>
  <c r="I159" i="17"/>
  <c r="G159" i="17"/>
  <c r="M158" i="17"/>
  <c r="K158" i="17"/>
  <c r="I158" i="17"/>
  <c r="G158" i="17"/>
  <c r="M157" i="17"/>
  <c r="K157" i="17"/>
  <c r="I157" i="17"/>
  <c r="G157" i="17"/>
  <c r="M156" i="17"/>
  <c r="K156" i="17"/>
  <c r="I156" i="17"/>
  <c r="G156" i="17"/>
  <c r="M155" i="17"/>
  <c r="K155" i="17"/>
  <c r="I155" i="17"/>
  <c r="G155" i="17"/>
  <c r="M154" i="17"/>
  <c r="K154" i="17"/>
  <c r="I154" i="17"/>
  <c r="G154" i="17"/>
  <c r="M153" i="17"/>
  <c r="K153" i="17"/>
  <c r="I153" i="17"/>
  <c r="G153" i="17"/>
  <c r="M152" i="17"/>
  <c r="K152" i="17"/>
  <c r="I152" i="17"/>
  <c r="G152" i="17"/>
  <c r="M151" i="17"/>
  <c r="K151" i="17"/>
  <c r="I151" i="17"/>
  <c r="G151" i="17"/>
  <c r="M150" i="17"/>
  <c r="K150" i="17"/>
  <c r="I150" i="17"/>
  <c r="G150" i="17"/>
  <c r="M149" i="17"/>
  <c r="K149" i="17"/>
  <c r="I149" i="17"/>
  <c r="G149" i="17"/>
  <c r="M148" i="17"/>
  <c r="K148" i="17"/>
  <c r="I148" i="17"/>
  <c r="G148" i="17"/>
  <c r="M147" i="17"/>
  <c r="K147" i="17"/>
  <c r="I147" i="17"/>
  <c r="G147" i="17"/>
  <c r="M146" i="17"/>
  <c r="K146" i="17"/>
  <c r="I146" i="17"/>
  <c r="G146" i="17"/>
  <c r="M145" i="17"/>
  <c r="K145" i="17"/>
  <c r="I145" i="17"/>
  <c r="G145" i="17"/>
  <c r="M144" i="17"/>
  <c r="K144" i="17"/>
  <c r="I144" i="17"/>
  <c r="G144" i="17"/>
  <c r="M143" i="17"/>
  <c r="K143" i="17"/>
  <c r="I143" i="17"/>
  <c r="G143" i="17"/>
  <c r="M142" i="17"/>
  <c r="K142" i="17"/>
  <c r="I142" i="17"/>
  <c r="G142" i="17"/>
  <c r="M141" i="17"/>
  <c r="K141" i="17"/>
  <c r="I141" i="17"/>
  <c r="G141" i="17"/>
  <c r="M140" i="17"/>
  <c r="K140" i="17"/>
  <c r="I140" i="17"/>
  <c r="G140" i="17"/>
  <c r="Q138" i="17"/>
  <c r="M137" i="17"/>
  <c r="K137" i="17"/>
  <c r="I137" i="17"/>
  <c r="G137" i="17"/>
  <c r="M136" i="17"/>
  <c r="K136" i="17"/>
  <c r="I136" i="17"/>
  <c r="G136" i="17"/>
  <c r="M135" i="17"/>
  <c r="K135" i="17"/>
  <c r="I135" i="17"/>
  <c r="G135" i="17"/>
  <c r="M134" i="17"/>
  <c r="K134" i="17"/>
  <c r="I134" i="17"/>
  <c r="G134" i="17"/>
  <c r="M133" i="17"/>
  <c r="K133" i="17"/>
  <c r="I133" i="17"/>
  <c r="G133" i="17"/>
  <c r="M132" i="17"/>
  <c r="K132" i="17"/>
  <c r="I132" i="17"/>
  <c r="G132" i="17"/>
  <c r="M131" i="17"/>
  <c r="K131" i="17"/>
  <c r="I131" i="17"/>
  <c r="G131" i="17"/>
  <c r="M130" i="17"/>
  <c r="K130" i="17"/>
  <c r="I130" i="17"/>
  <c r="G130" i="17"/>
  <c r="M129" i="17"/>
  <c r="K129" i="17"/>
  <c r="I129" i="17"/>
  <c r="G129" i="17"/>
  <c r="M128" i="17"/>
  <c r="K128" i="17"/>
  <c r="I128" i="17"/>
  <c r="G128" i="17"/>
  <c r="M127" i="17"/>
  <c r="K127" i="17"/>
  <c r="I127" i="17"/>
  <c r="G127" i="17"/>
  <c r="M126" i="17"/>
  <c r="K126" i="17"/>
  <c r="I126" i="17"/>
  <c r="G126" i="17"/>
  <c r="M125" i="17"/>
  <c r="K125" i="17"/>
  <c r="I125" i="17"/>
  <c r="G125" i="17"/>
  <c r="M124" i="17"/>
  <c r="K124" i="17"/>
  <c r="I124" i="17"/>
  <c r="G124" i="17"/>
  <c r="M123" i="17"/>
  <c r="K123" i="17"/>
  <c r="I123" i="17"/>
  <c r="G123" i="17"/>
  <c r="M122" i="17"/>
  <c r="K122" i="17"/>
  <c r="I122" i="17"/>
  <c r="G122" i="17"/>
  <c r="M121" i="17"/>
  <c r="K121" i="17"/>
  <c r="I121" i="17"/>
  <c r="G121" i="17"/>
  <c r="M120" i="17"/>
  <c r="K120" i="17"/>
  <c r="I120" i="17"/>
  <c r="G120" i="17"/>
  <c r="M119" i="17"/>
  <c r="K119" i="17"/>
  <c r="I119" i="17"/>
  <c r="G119" i="17"/>
  <c r="M118" i="17"/>
  <c r="K118" i="17"/>
  <c r="I118" i="17"/>
  <c r="G118" i="17"/>
  <c r="M117" i="17"/>
  <c r="K117" i="17"/>
  <c r="I117" i="17"/>
  <c r="G117" i="17"/>
  <c r="M116" i="17"/>
  <c r="K116" i="17"/>
  <c r="I116" i="17"/>
  <c r="G116" i="17"/>
  <c r="M115" i="17"/>
  <c r="K115" i="17"/>
  <c r="I115" i="17"/>
  <c r="G115" i="17"/>
  <c r="M114" i="17"/>
  <c r="K114" i="17"/>
  <c r="I114" i="17"/>
  <c r="G114" i="17"/>
  <c r="M113" i="17"/>
  <c r="K113" i="17"/>
  <c r="I113" i="17"/>
  <c r="G113" i="17"/>
  <c r="M112" i="17"/>
  <c r="K112" i="17"/>
  <c r="I112" i="17"/>
  <c r="G112" i="17"/>
  <c r="M111" i="17"/>
  <c r="K111" i="17"/>
  <c r="I111" i="17"/>
  <c r="G111" i="17"/>
  <c r="M110" i="17"/>
  <c r="K110" i="17"/>
  <c r="I110" i="17"/>
  <c r="G110" i="17"/>
  <c r="M109" i="17"/>
  <c r="K109" i="17"/>
  <c r="I109" i="17"/>
  <c r="G109" i="17"/>
  <c r="M108" i="17"/>
  <c r="K108" i="17"/>
  <c r="I108" i="17"/>
  <c r="G108" i="17"/>
  <c r="M107" i="17"/>
  <c r="K107" i="17"/>
  <c r="I107" i="17"/>
  <c r="G107" i="17"/>
  <c r="Q105" i="17"/>
  <c r="Q104" i="17"/>
  <c r="M103" i="17"/>
  <c r="K103" i="17"/>
  <c r="I103" i="17"/>
  <c r="G103" i="17"/>
  <c r="M102" i="17"/>
  <c r="K102" i="17"/>
  <c r="I102" i="17"/>
  <c r="G102" i="17"/>
  <c r="M101" i="17"/>
  <c r="K101" i="17"/>
  <c r="I101" i="17"/>
  <c r="G101" i="17"/>
  <c r="M100" i="17"/>
  <c r="K100" i="17"/>
  <c r="I100" i="17"/>
  <c r="G100" i="17"/>
  <c r="M99" i="17"/>
  <c r="K99" i="17"/>
  <c r="I99" i="17"/>
  <c r="G99" i="17"/>
  <c r="M98" i="17"/>
  <c r="K98" i="17"/>
  <c r="I98" i="17"/>
  <c r="G98" i="17"/>
  <c r="M97" i="17"/>
  <c r="K97" i="17"/>
  <c r="I97" i="17"/>
  <c r="G97" i="17"/>
  <c r="M96" i="17"/>
  <c r="K96" i="17"/>
  <c r="I96" i="17"/>
  <c r="G96" i="17"/>
  <c r="M95" i="17"/>
  <c r="K95" i="17"/>
  <c r="I95" i="17"/>
  <c r="G95" i="17"/>
  <c r="M94" i="17"/>
  <c r="K94" i="17"/>
  <c r="I94" i="17"/>
  <c r="G94" i="17"/>
  <c r="M93" i="17"/>
  <c r="K93" i="17"/>
  <c r="I93" i="17"/>
  <c r="G93" i="17"/>
  <c r="M92" i="17"/>
  <c r="K92" i="17"/>
  <c r="I92" i="17"/>
  <c r="G92" i="17"/>
  <c r="M91" i="17"/>
  <c r="K91" i="17"/>
  <c r="I91" i="17"/>
  <c r="G91" i="17"/>
  <c r="M90" i="17"/>
  <c r="K90" i="17"/>
  <c r="I90" i="17"/>
  <c r="G90" i="17"/>
  <c r="M89" i="17"/>
  <c r="K89" i="17"/>
  <c r="I89" i="17"/>
  <c r="G89" i="17"/>
  <c r="M88" i="17"/>
  <c r="K88" i="17"/>
  <c r="I88" i="17"/>
  <c r="G88" i="17"/>
  <c r="M87" i="17"/>
  <c r="K87" i="17"/>
  <c r="I87" i="17"/>
  <c r="G87" i="17"/>
  <c r="M86" i="17"/>
  <c r="K86" i="17"/>
  <c r="I86" i="17"/>
  <c r="G86" i="17"/>
  <c r="M85" i="17"/>
  <c r="K85" i="17"/>
  <c r="I85" i="17"/>
  <c r="G85" i="17"/>
  <c r="M84" i="17"/>
  <c r="K84" i="17"/>
  <c r="I84" i="17"/>
  <c r="G84" i="17"/>
  <c r="M83" i="17"/>
  <c r="K83" i="17"/>
  <c r="I83" i="17"/>
  <c r="G83" i="17"/>
  <c r="M82" i="17"/>
  <c r="K82" i="17"/>
  <c r="I82" i="17"/>
  <c r="G82" i="17"/>
  <c r="M81" i="17"/>
  <c r="K81" i="17"/>
  <c r="I81" i="17"/>
  <c r="G81" i="17"/>
  <c r="M80" i="17"/>
  <c r="K80" i="17"/>
  <c r="I80" i="17"/>
  <c r="G80" i="17"/>
  <c r="M79" i="17"/>
  <c r="K79" i="17"/>
  <c r="I79" i="17"/>
  <c r="G79" i="17"/>
  <c r="M78" i="17"/>
  <c r="K78" i="17"/>
  <c r="I78" i="17"/>
  <c r="G78" i="17"/>
  <c r="M77" i="17"/>
  <c r="K77" i="17"/>
  <c r="I77" i="17"/>
  <c r="G77" i="17"/>
  <c r="M76" i="17"/>
  <c r="K76" i="17"/>
  <c r="I76" i="17"/>
  <c r="G76" i="17"/>
  <c r="M75" i="17"/>
  <c r="K75" i="17"/>
  <c r="I75" i="17"/>
  <c r="G75" i="17"/>
  <c r="M74" i="17"/>
  <c r="K74" i="17"/>
  <c r="I74" i="17"/>
  <c r="G74" i="17"/>
  <c r="Q72" i="17"/>
  <c r="M71" i="17"/>
  <c r="K71" i="17"/>
  <c r="I71" i="17"/>
  <c r="G71" i="17"/>
  <c r="M70" i="17"/>
  <c r="K70" i="17"/>
  <c r="I70" i="17"/>
  <c r="G70" i="17"/>
  <c r="M69" i="17"/>
  <c r="K69" i="17"/>
  <c r="I69" i="17"/>
  <c r="G69" i="17"/>
  <c r="M68" i="17"/>
  <c r="K68" i="17"/>
  <c r="I68" i="17"/>
  <c r="G68" i="17"/>
  <c r="M67" i="17"/>
  <c r="K67" i="17"/>
  <c r="I67" i="17"/>
  <c r="G67" i="17"/>
  <c r="M66" i="17"/>
  <c r="K66" i="17"/>
  <c r="I66" i="17"/>
  <c r="G66" i="17"/>
  <c r="M65" i="17"/>
  <c r="K65" i="17"/>
  <c r="I65" i="17"/>
  <c r="G65" i="17"/>
  <c r="M64" i="17"/>
  <c r="K64" i="17"/>
  <c r="I64" i="17"/>
  <c r="G64" i="17"/>
  <c r="M63" i="17"/>
  <c r="K63" i="17"/>
  <c r="I63" i="17"/>
  <c r="G63" i="17"/>
  <c r="M62" i="17"/>
  <c r="K62" i="17"/>
  <c r="I62" i="17"/>
  <c r="G62" i="17"/>
  <c r="M61" i="17"/>
  <c r="K61" i="17"/>
  <c r="I61" i="17"/>
  <c r="G61" i="17"/>
  <c r="M60" i="17"/>
  <c r="K60" i="17"/>
  <c r="I60" i="17"/>
  <c r="G60" i="17"/>
  <c r="M59" i="17"/>
  <c r="K59" i="17"/>
  <c r="I59" i="17"/>
  <c r="G59" i="17"/>
  <c r="M58" i="17"/>
  <c r="K58" i="17"/>
  <c r="I58" i="17"/>
  <c r="G58" i="17"/>
  <c r="M57" i="17"/>
  <c r="K57" i="17"/>
  <c r="I57" i="17"/>
  <c r="G57" i="17"/>
  <c r="M56" i="17"/>
  <c r="K56" i="17"/>
  <c r="I56" i="17"/>
  <c r="G56" i="17"/>
  <c r="M55" i="17"/>
  <c r="K55" i="17"/>
  <c r="I55" i="17"/>
  <c r="G55" i="17"/>
  <c r="M54" i="17"/>
  <c r="K54" i="17"/>
  <c r="I54" i="17"/>
  <c r="G54" i="17"/>
  <c r="M53" i="17"/>
  <c r="K53" i="17"/>
  <c r="I53" i="17"/>
  <c r="G53" i="17"/>
  <c r="M52" i="17"/>
  <c r="K52" i="17"/>
  <c r="I52" i="17"/>
  <c r="G52" i="17"/>
  <c r="M51" i="17"/>
  <c r="K51" i="17"/>
  <c r="I51" i="17"/>
  <c r="G51" i="17"/>
  <c r="M50" i="17"/>
  <c r="K50" i="17"/>
  <c r="I50" i="17"/>
  <c r="G50" i="17"/>
  <c r="M49" i="17"/>
  <c r="K49" i="17"/>
  <c r="I49" i="17"/>
  <c r="G49" i="17"/>
  <c r="M48" i="17"/>
  <c r="K48" i="17"/>
  <c r="I48" i="17"/>
  <c r="G48" i="17"/>
  <c r="M47" i="17"/>
  <c r="K47" i="17"/>
  <c r="I47" i="17"/>
  <c r="G47" i="17"/>
  <c r="M46" i="17"/>
  <c r="K46" i="17"/>
  <c r="I46" i="17"/>
  <c r="G46" i="17"/>
  <c r="M45" i="17"/>
  <c r="K45" i="17"/>
  <c r="I45" i="17"/>
  <c r="G45" i="17"/>
  <c r="M44" i="17"/>
  <c r="K44" i="17"/>
  <c r="I44" i="17"/>
  <c r="G44" i="17"/>
  <c r="M43" i="17"/>
  <c r="K43" i="17"/>
  <c r="I43" i="17"/>
  <c r="G43" i="17"/>
  <c r="M42" i="17"/>
  <c r="K42" i="17"/>
  <c r="I42" i="17"/>
  <c r="G42" i="17"/>
  <c r="M41" i="17"/>
  <c r="K41" i="17"/>
  <c r="I41" i="17"/>
  <c r="G41" i="17"/>
  <c r="Q39" i="17"/>
  <c r="Q38" i="17"/>
  <c r="M37" i="17"/>
  <c r="K37" i="17"/>
  <c r="I37" i="17"/>
  <c r="G37" i="17"/>
  <c r="M36" i="17"/>
  <c r="K36" i="17"/>
  <c r="I36" i="17"/>
  <c r="G36" i="17"/>
  <c r="M35" i="17"/>
  <c r="K35" i="17"/>
  <c r="I35" i="17"/>
  <c r="G35" i="17"/>
  <c r="M34" i="17"/>
  <c r="K34" i="17"/>
  <c r="I34" i="17"/>
  <c r="G34" i="17"/>
  <c r="M33" i="17"/>
  <c r="K33" i="17"/>
  <c r="I33" i="17"/>
  <c r="G33" i="17"/>
  <c r="M32" i="17"/>
  <c r="K32" i="17"/>
  <c r="I32" i="17"/>
  <c r="G32" i="17"/>
  <c r="M31" i="17"/>
  <c r="K31" i="17"/>
  <c r="I31" i="17"/>
  <c r="G31" i="17"/>
  <c r="M30" i="17"/>
  <c r="K30" i="17"/>
  <c r="I30" i="17"/>
  <c r="G30" i="17"/>
  <c r="M29" i="17"/>
  <c r="K29" i="17"/>
  <c r="I29" i="17"/>
  <c r="G29" i="17"/>
  <c r="M28" i="17"/>
  <c r="K28" i="17"/>
  <c r="I28" i="17"/>
  <c r="G28" i="17"/>
  <c r="M27" i="17"/>
  <c r="K27" i="17"/>
  <c r="I27" i="17"/>
  <c r="G27" i="17"/>
  <c r="M26" i="17"/>
  <c r="K26" i="17"/>
  <c r="I26" i="17"/>
  <c r="G26" i="17"/>
  <c r="M25" i="17"/>
  <c r="K25" i="17"/>
  <c r="I25" i="17"/>
  <c r="G25" i="17"/>
  <c r="M24" i="17"/>
  <c r="K24" i="17"/>
  <c r="I24" i="17"/>
  <c r="G24" i="17"/>
  <c r="M23" i="17"/>
  <c r="K23" i="17"/>
  <c r="I23" i="17"/>
  <c r="G23" i="17"/>
  <c r="M22" i="17"/>
  <c r="K22" i="17"/>
  <c r="I22" i="17"/>
  <c r="G22" i="17"/>
  <c r="M21" i="17"/>
  <c r="K21" i="17"/>
  <c r="I21" i="17"/>
  <c r="G21" i="17"/>
  <c r="M20" i="17"/>
  <c r="K20" i="17"/>
  <c r="I20" i="17"/>
  <c r="G20" i="17"/>
  <c r="M19" i="17"/>
  <c r="K19" i="17"/>
  <c r="I19" i="17"/>
  <c r="G19" i="17"/>
  <c r="M18" i="17"/>
  <c r="K18" i="17"/>
  <c r="I18" i="17"/>
  <c r="G18" i="17"/>
  <c r="M17" i="17"/>
  <c r="K17" i="17"/>
  <c r="I17" i="17"/>
  <c r="G17" i="17"/>
  <c r="M16" i="17"/>
  <c r="K16" i="17"/>
  <c r="I16" i="17"/>
  <c r="G16" i="17"/>
  <c r="M15" i="17"/>
  <c r="K15" i="17"/>
  <c r="I15" i="17"/>
  <c r="G15" i="17"/>
  <c r="M14" i="17"/>
  <c r="K14" i="17"/>
  <c r="I14" i="17"/>
  <c r="G14" i="17"/>
  <c r="M13" i="17"/>
  <c r="K13" i="17"/>
  <c r="I13" i="17"/>
  <c r="G13" i="17"/>
  <c r="M12" i="17"/>
  <c r="K12" i="17"/>
  <c r="I12" i="17"/>
  <c r="G12" i="17"/>
  <c r="M11" i="17"/>
  <c r="K11" i="17"/>
  <c r="I11" i="17"/>
  <c r="G11" i="17"/>
  <c r="M10" i="17"/>
  <c r="K10" i="17"/>
  <c r="I10" i="17"/>
  <c r="G10" i="17"/>
  <c r="M9" i="17"/>
  <c r="K9" i="17"/>
  <c r="I9" i="17"/>
  <c r="G9" i="17"/>
  <c r="M8" i="17"/>
  <c r="K8" i="17"/>
  <c r="I8" i="17"/>
  <c r="G8" i="17"/>
  <c r="AC138" i="17" l="1"/>
  <c r="AC423" i="17"/>
  <c r="M7" i="14" l="1"/>
  <c r="P7" i="14" s="1"/>
  <c r="E8" i="17" s="1"/>
  <c r="S103" i="14"/>
  <c r="L367" i="14"/>
  <c r="L366" i="14"/>
  <c r="L336" i="14"/>
  <c r="L335" i="14"/>
  <c r="L303" i="14"/>
  <c r="L302" i="14"/>
  <c r="L270" i="14"/>
  <c r="L269" i="14"/>
  <c r="L268" i="14"/>
  <c r="L237" i="14"/>
  <c r="L236" i="14"/>
  <c r="L204" i="14"/>
  <c r="L203" i="14"/>
  <c r="L202" i="14"/>
  <c r="L171" i="14"/>
  <c r="L170" i="14"/>
  <c r="L138" i="14"/>
  <c r="L137" i="14"/>
  <c r="L105" i="14"/>
  <c r="L104" i="14"/>
  <c r="L103" i="14"/>
  <c r="L72" i="14"/>
  <c r="L71" i="14"/>
  <c r="L39" i="14"/>
  <c r="L38" i="14"/>
  <c r="L37" i="14"/>
  <c r="A4" i="15" l="1"/>
  <c r="N7" i="14"/>
  <c r="C8" i="17" s="1"/>
  <c r="M8" i="14"/>
  <c r="B9" i="17" s="1"/>
  <c r="G7" i="14"/>
  <c r="F4" i="15" s="1"/>
  <c r="A7" i="14"/>
  <c r="B8" i="17"/>
  <c r="B7" i="14"/>
  <c r="I7" i="14"/>
  <c r="O7" i="14"/>
  <c r="D8" i="17" s="1"/>
  <c r="C7" i="14"/>
  <c r="E4" i="15"/>
  <c r="D8" i="14" l="1"/>
  <c r="N8" i="14"/>
  <c r="C9" i="17" s="1"/>
  <c r="P8" i="14"/>
  <c r="E9" i="17" s="1"/>
  <c r="A8" i="14"/>
  <c r="G8" i="14"/>
  <c r="F5" i="15" s="1"/>
  <c r="A5" i="15"/>
  <c r="O8" i="14"/>
  <c r="D9" i="17" s="1"/>
  <c r="I8" i="14"/>
  <c r="M9" i="14"/>
  <c r="B10" i="17" s="1"/>
  <c r="C8" i="14"/>
  <c r="J7" i="14"/>
  <c r="AD7" i="14" s="1"/>
  <c r="S8" i="17" s="1"/>
  <c r="B4" i="15"/>
  <c r="B8" i="14"/>
  <c r="D4" i="15"/>
  <c r="E7" i="14"/>
  <c r="D9" i="14"/>
  <c r="A9" i="14"/>
  <c r="J8" i="14"/>
  <c r="A6" i="15"/>
  <c r="P9" i="14"/>
  <c r="E10" i="17" s="1"/>
  <c r="M10" i="14"/>
  <c r="O9" i="14"/>
  <c r="D10" i="17" s="1"/>
  <c r="B5" i="15"/>
  <c r="N9" i="14" l="1"/>
  <c r="C10" i="17" s="1"/>
  <c r="B9" i="14"/>
  <c r="E8" i="14"/>
  <c r="H8" i="14" s="1"/>
  <c r="D5" i="15"/>
  <c r="E5" i="15"/>
  <c r="G9" i="14"/>
  <c r="F6" i="15" s="1"/>
  <c r="I9" i="14"/>
  <c r="C9" i="14"/>
  <c r="E9" i="14" s="1"/>
  <c r="F7" i="14"/>
  <c r="H7" i="14"/>
  <c r="L7" i="14"/>
  <c r="B11" i="17"/>
  <c r="G10" i="14"/>
  <c r="F7" i="15" s="1"/>
  <c r="K8" i="14"/>
  <c r="J9" i="14"/>
  <c r="C10" i="14"/>
  <c r="I10" i="14"/>
  <c r="D10" i="14"/>
  <c r="B10" i="14"/>
  <c r="A10" i="14"/>
  <c r="E6" i="15"/>
  <c r="D6" i="15"/>
  <c r="N10" i="14"/>
  <c r="C11" i="17" s="1"/>
  <c r="A7" i="15"/>
  <c r="P10" i="14"/>
  <c r="E11" i="17" s="1"/>
  <c r="O10" i="14"/>
  <c r="D11" i="17" s="1"/>
  <c r="M11" i="14"/>
  <c r="B6" i="15"/>
  <c r="C4" i="15" l="1"/>
  <c r="Q7" i="14"/>
  <c r="F8" i="14"/>
  <c r="L8" i="17"/>
  <c r="U7" i="14"/>
  <c r="J8" i="17" s="1"/>
  <c r="Y7" i="14"/>
  <c r="N8" i="17" s="1"/>
  <c r="AA7" i="14"/>
  <c r="P8" i="17" s="1"/>
  <c r="F9" i="14"/>
  <c r="H9" i="14"/>
  <c r="L8" i="14"/>
  <c r="AD8" i="14"/>
  <c r="S9" i="17" s="1"/>
  <c r="A8" i="17"/>
  <c r="Z7" i="14"/>
  <c r="O8" i="17" s="1"/>
  <c r="B12" i="17"/>
  <c r="G11" i="14"/>
  <c r="F8" i="15" s="1"/>
  <c r="AB8" i="14"/>
  <c r="Q9" i="17" s="1"/>
  <c r="AC8" i="14"/>
  <c r="R9" i="17" s="1"/>
  <c r="K9" i="14"/>
  <c r="E10" i="14"/>
  <c r="J10" i="14"/>
  <c r="C11" i="14"/>
  <c r="B11" i="14"/>
  <c r="D11" i="14"/>
  <c r="I11" i="14"/>
  <c r="A11" i="14"/>
  <c r="D7" i="15"/>
  <c r="E7" i="15"/>
  <c r="P11" i="14"/>
  <c r="E12" i="17" s="1"/>
  <c r="M12" i="14"/>
  <c r="N11" i="14"/>
  <c r="C12" i="17" s="1"/>
  <c r="O11" i="14"/>
  <c r="D12" i="17" s="1"/>
  <c r="A8" i="15"/>
  <c r="B7" i="15"/>
  <c r="C5" i="15" l="1"/>
  <c r="Q8" i="14"/>
  <c r="H8" i="17"/>
  <c r="F8" i="17"/>
  <c r="L9" i="17"/>
  <c r="F9" i="17"/>
  <c r="U8" i="14"/>
  <c r="AA8" i="14"/>
  <c r="P9" i="17" s="1"/>
  <c r="Y8" i="14"/>
  <c r="N9" i="17" s="1"/>
  <c r="F10" i="14"/>
  <c r="H10" i="14"/>
  <c r="K10" i="14"/>
  <c r="AD10" i="14" s="1"/>
  <c r="S11" i="17" s="1"/>
  <c r="L9" i="14"/>
  <c r="Q9" i="14" s="1"/>
  <c r="AD9" i="14"/>
  <c r="S10" i="17" s="1"/>
  <c r="A9" i="17"/>
  <c r="Z8" i="14"/>
  <c r="O9" i="17" s="1"/>
  <c r="B13" i="17"/>
  <c r="G12" i="14"/>
  <c r="F9" i="15" s="1"/>
  <c r="AC9" i="14"/>
  <c r="R10" i="17" s="1"/>
  <c r="AB9" i="14"/>
  <c r="Q10" i="17" s="1"/>
  <c r="E11" i="14"/>
  <c r="J11" i="14"/>
  <c r="D12" i="14"/>
  <c r="A12" i="14"/>
  <c r="C12" i="14"/>
  <c r="B12" i="14"/>
  <c r="I12" i="14"/>
  <c r="E8" i="15"/>
  <c r="D8" i="15"/>
  <c r="A9" i="15"/>
  <c r="P12" i="14"/>
  <c r="E13" i="17" s="1"/>
  <c r="N12" i="14"/>
  <c r="C13" i="17" s="1"/>
  <c r="M13" i="14"/>
  <c r="O12" i="14"/>
  <c r="D13" i="17" s="1"/>
  <c r="B8" i="15"/>
  <c r="H9" i="17" l="1"/>
  <c r="K11" i="14"/>
  <c r="AD11" i="14" s="1"/>
  <c r="S12" i="17" s="1"/>
  <c r="AC10" i="14"/>
  <c r="R11" i="17" s="1"/>
  <c r="L10" i="14"/>
  <c r="L10" i="17"/>
  <c r="F10" i="17"/>
  <c r="Y9" i="14"/>
  <c r="N10" i="17" s="1"/>
  <c r="C6" i="15"/>
  <c r="AA9" i="14"/>
  <c r="P10" i="17" s="1"/>
  <c r="AB10" i="14"/>
  <c r="Q11" i="17" s="1"/>
  <c r="F11" i="14"/>
  <c r="H11" i="14"/>
  <c r="J9" i="17"/>
  <c r="A10" i="17"/>
  <c r="Z9" i="14"/>
  <c r="O10" i="17" s="1"/>
  <c r="B14" i="17"/>
  <c r="G13" i="14"/>
  <c r="F10" i="15" s="1"/>
  <c r="E12" i="14"/>
  <c r="C13" i="14"/>
  <c r="I13" i="14"/>
  <c r="B13" i="14"/>
  <c r="D13" i="14"/>
  <c r="A13" i="14"/>
  <c r="J12" i="14"/>
  <c r="E9" i="15"/>
  <c r="D9" i="15"/>
  <c r="B9" i="15"/>
  <c r="P13" i="14"/>
  <c r="E14" i="17" s="1"/>
  <c r="N13" i="14"/>
  <c r="C14" i="17" s="1"/>
  <c r="O13" i="14"/>
  <c r="D14" i="17" s="1"/>
  <c r="A10" i="15"/>
  <c r="M14" i="14"/>
  <c r="L11" i="17" l="1"/>
  <c r="Q10" i="14"/>
  <c r="AB11" i="14"/>
  <c r="Q12" i="17" s="1"/>
  <c r="AC11" i="14"/>
  <c r="R12" i="17" s="1"/>
  <c r="K12" i="14"/>
  <c r="AD12" i="14" s="1"/>
  <c r="S13" i="17" s="1"/>
  <c r="L11" i="14"/>
  <c r="A11" i="17"/>
  <c r="Y10" i="14"/>
  <c r="N11" i="17" s="1"/>
  <c r="F11" i="17"/>
  <c r="C7" i="15"/>
  <c r="Z10" i="14"/>
  <c r="O11" i="17" s="1"/>
  <c r="AA10" i="14"/>
  <c r="P11" i="17" s="1"/>
  <c r="H10" i="17"/>
  <c r="U9" i="14"/>
  <c r="J10" i="17" s="1"/>
  <c r="F12" i="14"/>
  <c r="H12" i="14"/>
  <c r="B15" i="17"/>
  <c r="G14" i="14"/>
  <c r="F11" i="15" s="1"/>
  <c r="AC12" i="14"/>
  <c r="R13" i="17" s="1"/>
  <c r="E13" i="14"/>
  <c r="C14" i="14"/>
  <c r="B14" i="14"/>
  <c r="I14" i="14"/>
  <c r="A14" i="14"/>
  <c r="D14" i="14"/>
  <c r="J13" i="14"/>
  <c r="D10" i="15"/>
  <c r="E10" i="15"/>
  <c r="O14" i="14"/>
  <c r="D15" i="17" s="1"/>
  <c r="M15" i="14"/>
  <c r="A11" i="15"/>
  <c r="N14" i="14"/>
  <c r="C15" i="17" s="1"/>
  <c r="P14" i="14"/>
  <c r="E15" i="17" s="1"/>
  <c r="B10" i="15"/>
  <c r="L12" i="17" l="1"/>
  <c r="Q11" i="14"/>
  <c r="F12" i="17" s="1"/>
  <c r="A12" i="17"/>
  <c r="C8" i="15"/>
  <c r="Y11" i="14"/>
  <c r="N12" i="17" s="1"/>
  <c r="AA11" i="14"/>
  <c r="P12" i="17" s="1"/>
  <c r="U11" i="14"/>
  <c r="J12" i="17" s="1"/>
  <c r="Z11" i="14"/>
  <c r="O12" i="17" s="1"/>
  <c r="K13" i="14"/>
  <c r="AD13" i="14" s="1"/>
  <c r="S14" i="17" s="1"/>
  <c r="AB12" i="14"/>
  <c r="Q13" i="17" s="1"/>
  <c r="L12" i="14"/>
  <c r="U10" i="14"/>
  <c r="J11" i="17" s="1"/>
  <c r="H11" i="17"/>
  <c r="F13" i="14"/>
  <c r="H13" i="14"/>
  <c r="B16" i="17"/>
  <c r="G15" i="14"/>
  <c r="F12" i="15" s="1"/>
  <c r="E14" i="14"/>
  <c r="A15" i="14"/>
  <c r="C15" i="14"/>
  <c r="B15" i="14"/>
  <c r="I15" i="14"/>
  <c r="D15" i="14"/>
  <c r="J14" i="14"/>
  <c r="E11" i="15"/>
  <c r="D11" i="15"/>
  <c r="B11" i="15"/>
  <c r="N15" i="14"/>
  <c r="C16" i="17" s="1"/>
  <c r="P15" i="14"/>
  <c r="E16" i="17" s="1"/>
  <c r="O15" i="14"/>
  <c r="D16" i="17" s="1"/>
  <c r="A12" i="15"/>
  <c r="M16" i="14"/>
  <c r="L13" i="17" l="1"/>
  <c r="Q12" i="14"/>
  <c r="AA12" i="14"/>
  <c r="P13" i="17" s="1"/>
  <c r="A13" i="17"/>
  <c r="F13" i="17"/>
  <c r="H12" i="17"/>
  <c r="C9" i="15"/>
  <c r="U12" i="14"/>
  <c r="J13" i="17" s="1"/>
  <c r="Z12" i="14"/>
  <c r="O13" i="17" s="1"/>
  <c r="Y12" i="14"/>
  <c r="N13" i="17" s="1"/>
  <c r="L13" i="14"/>
  <c r="K14" i="14"/>
  <c r="AD14" i="14" s="1"/>
  <c r="S15" i="17" s="1"/>
  <c r="AB13" i="14"/>
  <c r="Q14" i="17" s="1"/>
  <c r="AC13" i="14"/>
  <c r="R14" i="17" s="1"/>
  <c r="F14" i="14"/>
  <c r="H14" i="14"/>
  <c r="B17" i="17"/>
  <c r="G16" i="14"/>
  <c r="F13" i="15" s="1"/>
  <c r="E15" i="14"/>
  <c r="J15" i="14"/>
  <c r="C16" i="14"/>
  <c r="I16" i="14"/>
  <c r="A16" i="14"/>
  <c r="B16" i="14"/>
  <c r="D16" i="14"/>
  <c r="D12" i="15"/>
  <c r="E12" i="15"/>
  <c r="A13" i="15"/>
  <c r="N16" i="14"/>
  <c r="C17" i="17" s="1"/>
  <c r="O16" i="14"/>
  <c r="D17" i="17" s="1"/>
  <c r="M17" i="14"/>
  <c r="P16" i="14"/>
  <c r="E17" i="17" s="1"/>
  <c r="B12" i="15"/>
  <c r="S13" i="14" l="1"/>
  <c r="U13" i="14" s="1"/>
  <c r="Q13" i="14"/>
  <c r="F14" i="17" s="1"/>
  <c r="H13" i="17"/>
  <c r="A14" i="17"/>
  <c r="C10" i="15"/>
  <c r="AA13" i="14"/>
  <c r="P14" i="17" s="1"/>
  <c r="L14" i="17"/>
  <c r="K15" i="14"/>
  <c r="AD15" i="14" s="1"/>
  <c r="S16" i="17" s="1"/>
  <c r="Z13" i="14"/>
  <c r="O14" i="17" s="1"/>
  <c r="Y13" i="14"/>
  <c r="N14" i="17" s="1"/>
  <c r="L14" i="14"/>
  <c r="AB14" i="14"/>
  <c r="Q15" i="17" s="1"/>
  <c r="AC14" i="14"/>
  <c r="R15" i="17" s="1"/>
  <c r="F15" i="14"/>
  <c r="H15" i="14"/>
  <c r="B18" i="17"/>
  <c r="G17" i="14"/>
  <c r="F14" i="15" s="1"/>
  <c r="E16" i="14"/>
  <c r="J14" i="17"/>
  <c r="C17" i="14"/>
  <c r="D17" i="14"/>
  <c r="B17" i="14"/>
  <c r="A17" i="14"/>
  <c r="I17" i="14"/>
  <c r="J16" i="14"/>
  <c r="E13" i="15"/>
  <c r="D13" i="15"/>
  <c r="B13" i="15"/>
  <c r="A14" i="15"/>
  <c r="M18" i="14"/>
  <c r="N17" i="14"/>
  <c r="C18" i="17" s="1"/>
  <c r="P17" i="14"/>
  <c r="E18" i="17" s="1"/>
  <c r="O17" i="14"/>
  <c r="D18" i="17" s="1"/>
  <c r="H14" i="17" l="1"/>
  <c r="H15" i="17"/>
  <c r="Q14" i="14"/>
  <c r="C11" i="15"/>
  <c r="Y14" i="14"/>
  <c r="N15" i="17" s="1"/>
  <c r="Z14" i="14"/>
  <c r="O15" i="17" s="1"/>
  <c r="F15" i="17"/>
  <c r="L15" i="14"/>
  <c r="AB15" i="14"/>
  <c r="Q16" i="17" s="1"/>
  <c r="AC15" i="14"/>
  <c r="R16" i="17" s="1"/>
  <c r="U14" i="14"/>
  <c r="J15" i="17" s="1"/>
  <c r="K16" i="14"/>
  <c r="AD16" i="14" s="1"/>
  <c r="S17" i="17" s="1"/>
  <c r="A15" i="17"/>
  <c r="AA14" i="14"/>
  <c r="P15" i="17" s="1"/>
  <c r="L15" i="17"/>
  <c r="L16" i="17"/>
  <c r="F16" i="14"/>
  <c r="H16" i="14"/>
  <c r="B19" i="17"/>
  <c r="G18" i="14"/>
  <c r="F15" i="15" s="1"/>
  <c r="E17" i="14"/>
  <c r="C18" i="14"/>
  <c r="B18" i="14"/>
  <c r="D18" i="14"/>
  <c r="I18" i="14"/>
  <c r="A18" i="14"/>
  <c r="J17" i="14"/>
  <c r="D14" i="15"/>
  <c r="E14" i="15"/>
  <c r="N18" i="14"/>
  <c r="C19" i="17" s="1"/>
  <c r="P18" i="14"/>
  <c r="E19" i="17" s="1"/>
  <c r="O18" i="14"/>
  <c r="D19" i="17" s="1"/>
  <c r="M19" i="14"/>
  <c r="A15" i="15"/>
  <c r="B14" i="15"/>
  <c r="U15" i="14" l="1"/>
  <c r="Q15" i="14"/>
  <c r="F16" i="17" s="1"/>
  <c r="C12" i="15"/>
  <c r="AB16" i="14"/>
  <c r="Q17" i="17" s="1"/>
  <c r="Y15" i="14"/>
  <c r="N16" i="17" s="1"/>
  <c r="Z15" i="14"/>
  <c r="O16" i="17" s="1"/>
  <c r="L16" i="14"/>
  <c r="A16" i="17"/>
  <c r="AA15" i="14"/>
  <c r="P16" i="17" s="1"/>
  <c r="K17" i="14"/>
  <c r="AD17" i="14" s="1"/>
  <c r="S18" i="17" s="1"/>
  <c r="AC16" i="14"/>
  <c r="R17" i="17" s="1"/>
  <c r="F17" i="14"/>
  <c r="H17" i="14"/>
  <c r="B20" i="17"/>
  <c r="G19" i="14"/>
  <c r="F16" i="15" s="1"/>
  <c r="E18" i="14"/>
  <c r="J16" i="17"/>
  <c r="H16" i="17"/>
  <c r="J18" i="14"/>
  <c r="I19" i="14"/>
  <c r="C19" i="14"/>
  <c r="D19" i="14"/>
  <c r="B19" i="14"/>
  <c r="A19" i="14"/>
  <c r="D15" i="15"/>
  <c r="E15" i="15"/>
  <c r="B15" i="15"/>
  <c r="P19" i="14"/>
  <c r="E20" i="17" s="1"/>
  <c r="M20" i="14"/>
  <c r="A16" i="15"/>
  <c r="N19" i="14"/>
  <c r="C20" i="17" s="1"/>
  <c r="O19" i="14"/>
  <c r="D20" i="17" s="1"/>
  <c r="Q16" i="14" l="1"/>
  <c r="F17" i="17" s="1"/>
  <c r="Z16" i="14"/>
  <c r="O17" i="17" s="1"/>
  <c r="Y16" i="14"/>
  <c r="N17" i="17" s="1"/>
  <c r="A17" i="17"/>
  <c r="AA16" i="14"/>
  <c r="P17" i="17" s="1"/>
  <c r="L17" i="14"/>
  <c r="L17" i="17"/>
  <c r="AB17" i="14"/>
  <c r="Q18" i="17" s="1"/>
  <c r="K18" i="14"/>
  <c r="AD18" i="14" s="1"/>
  <c r="S19" i="17" s="1"/>
  <c r="AC17" i="14"/>
  <c r="R18" i="17" s="1"/>
  <c r="H17" i="17"/>
  <c r="C13" i="15"/>
  <c r="F18" i="14"/>
  <c r="H18" i="14"/>
  <c r="B21" i="17"/>
  <c r="G20" i="14"/>
  <c r="F17" i="15" s="1"/>
  <c r="L18" i="14"/>
  <c r="Q18" i="14" s="1"/>
  <c r="E19" i="14"/>
  <c r="J19" i="14"/>
  <c r="B20" i="14"/>
  <c r="C20" i="14"/>
  <c r="I20" i="14"/>
  <c r="A20" i="14"/>
  <c r="D20" i="14"/>
  <c r="E16" i="15"/>
  <c r="D16" i="15"/>
  <c r="O20" i="14"/>
  <c r="D21" i="17" s="1"/>
  <c r="A17" i="15"/>
  <c r="P20" i="14"/>
  <c r="E21" i="17" s="1"/>
  <c r="M21" i="14"/>
  <c r="N20" i="14"/>
  <c r="C21" i="17" s="1"/>
  <c r="B16" i="15"/>
  <c r="AA17" i="14" l="1"/>
  <c r="P18" i="17" s="1"/>
  <c r="Q17" i="14"/>
  <c r="C14" i="15"/>
  <c r="U17" i="14"/>
  <c r="J18" i="17" s="1"/>
  <c r="AC18" i="14"/>
  <c r="R19" i="17" s="1"/>
  <c r="F18" i="17"/>
  <c r="K19" i="14"/>
  <c r="AD19" i="14" s="1"/>
  <c r="S20" i="17" s="1"/>
  <c r="AB18" i="14"/>
  <c r="Q19" i="17" s="1"/>
  <c r="Z17" i="14"/>
  <c r="O18" i="17" s="1"/>
  <c r="Y17" i="14"/>
  <c r="N18" i="17" s="1"/>
  <c r="L18" i="17"/>
  <c r="A18" i="17"/>
  <c r="U16" i="14"/>
  <c r="J17" i="17" s="1"/>
  <c r="L19" i="17"/>
  <c r="F19" i="17"/>
  <c r="U18" i="14"/>
  <c r="AA18" i="14"/>
  <c r="P19" i="17" s="1"/>
  <c r="Y18" i="14"/>
  <c r="N19" i="17" s="1"/>
  <c r="F19" i="14"/>
  <c r="H19" i="14"/>
  <c r="A19" i="17"/>
  <c r="Z18" i="14"/>
  <c r="O19" i="17" s="1"/>
  <c r="B22" i="17"/>
  <c r="G21" i="14"/>
  <c r="F18" i="15" s="1"/>
  <c r="L19" i="14"/>
  <c r="Q19" i="14" s="1"/>
  <c r="J20" i="14"/>
  <c r="K20" i="14" s="1"/>
  <c r="AD20" i="14" s="1"/>
  <c r="S21" i="17" s="1"/>
  <c r="C21" i="14"/>
  <c r="A21" i="14"/>
  <c r="I21" i="14"/>
  <c r="B21" i="14"/>
  <c r="D21" i="14"/>
  <c r="E20" i="14"/>
  <c r="E17" i="15"/>
  <c r="C15" i="15"/>
  <c r="D17" i="15"/>
  <c r="B17" i="15"/>
  <c r="A18" i="15"/>
  <c r="O21" i="14"/>
  <c r="D22" i="17" s="1"/>
  <c r="P21" i="14"/>
  <c r="E22" i="17" s="1"/>
  <c r="M22" i="14"/>
  <c r="N21" i="14"/>
  <c r="C22" i="17" s="1"/>
  <c r="AB19" i="14" l="1"/>
  <c r="Q20" i="17" s="1"/>
  <c r="AC19" i="14"/>
  <c r="R20" i="17" s="1"/>
  <c r="H18" i="17"/>
  <c r="L20" i="17"/>
  <c r="F20" i="17"/>
  <c r="U19" i="14"/>
  <c r="AA19" i="14"/>
  <c r="P20" i="17" s="1"/>
  <c r="Y19" i="14"/>
  <c r="N20" i="17" s="1"/>
  <c r="F20" i="14"/>
  <c r="H20" i="14"/>
  <c r="A20" i="17"/>
  <c r="Z19" i="14"/>
  <c r="O20" i="17" s="1"/>
  <c r="B23" i="17"/>
  <c r="G22" i="14"/>
  <c r="F19" i="15" s="1"/>
  <c r="AB20" i="14"/>
  <c r="Q21" i="17" s="1"/>
  <c r="AC20" i="14"/>
  <c r="R21" i="17" s="1"/>
  <c r="J19" i="17"/>
  <c r="H19" i="17"/>
  <c r="L20" i="14"/>
  <c r="Q20" i="14" s="1"/>
  <c r="E21" i="14"/>
  <c r="J21" i="14"/>
  <c r="K21" i="14" s="1"/>
  <c r="AD21" i="14" s="1"/>
  <c r="S22" i="17" s="1"/>
  <c r="C22" i="14"/>
  <c r="I22" i="14"/>
  <c r="D22" i="14"/>
  <c r="B22" i="14"/>
  <c r="A22" i="14"/>
  <c r="E18" i="15"/>
  <c r="C16" i="15"/>
  <c r="D18" i="15"/>
  <c r="P22" i="14"/>
  <c r="E23" i="17" s="1"/>
  <c r="A19" i="15"/>
  <c r="M23" i="14"/>
  <c r="N22" i="14"/>
  <c r="C23" i="17" s="1"/>
  <c r="O22" i="14"/>
  <c r="D23" i="17" s="1"/>
  <c r="B18" i="15"/>
  <c r="L21" i="17" l="1"/>
  <c r="F21" i="17"/>
  <c r="S20" i="14"/>
  <c r="U20" i="14" s="1"/>
  <c r="F21" i="14"/>
  <c r="H21" i="14"/>
  <c r="AA20" i="14"/>
  <c r="P21" i="17" s="1"/>
  <c r="Y20" i="14"/>
  <c r="N21" i="17" s="1"/>
  <c r="A21" i="17"/>
  <c r="Z20" i="14"/>
  <c r="O21" i="17" s="1"/>
  <c r="B24" i="17"/>
  <c r="G23" i="14"/>
  <c r="F20" i="15" s="1"/>
  <c r="AC21" i="14"/>
  <c r="R22" i="17" s="1"/>
  <c r="AB21" i="14"/>
  <c r="Q22" i="17" s="1"/>
  <c r="J20" i="17"/>
  <c r="H20" i="17"/>
  <c r="E22" i="14"/>
  <c r="L21" i="14"/>
  <c r="Q21" i="14" s="1"/>
  <c r="J22" i="14"/>
  <c r="K22" i="14" s="1"/>
  <c r="AD22" i="14" s="1"/>
  <c r="S23" i="17" s="1"/>
  <c r="B23" i="14"/>
  <c r="I23" i="14"/>
  <c r="A23" i="14"/>
  <c r="C23" i="14"/>
  <c r="D23" i="14"/>
  <c r="D19" i="15"/>
  <c r="C17" i="15"/>
  <c r="E19" i="15"/>
  <c r="B19" i="15"/>
  <c r="A20" i="15"/>
  <c r="N23" i="14"/>
  <c r="C24" i="17" s="1"/>
  <c r="M24" i="14"/>
  <c r="P23" i="14"/>
  <c r="E24" i="17" s="1"/>
  <c r="O23" i="14"/>
  <c r="D24" i="17" s="1"/>
  <c r="L22" i="17" l="1"/>
  <c r="AA21" i="14"/>
  <c r="P22" i="17" s="1"/>
  <c r="Y21" i="14"/>
  <c r="N22" i="17" s="1"/>
  <c r="F22" i="14"/>
  <c r="H22" i="14"/>
  <c r="A22" i="17"/>
  <c r="Z21" i="14"/>
  <c r="O22" i="17" s="1"/>
  <c r="B25" i="17"/>
  <c r="G24" i="14"/>
  <c r="F21" i="15" s="1"/>
  <c r="AC22" i="14"/>
  <c r="R23" i="17" s="1"/>
  <c r="AB22" i="14"/>
  <c r="Q23" i="17" s="1"/>
  <c r="J21" i="17"/>
  <c r="H21" i="17"/>
  <c r="E23" i="14"/>
  <c r="L22" i="14"/>
  <c r="Q22" i="14" s="1"/>
  <c r="J23" i="14"/>
  <c r="K23" i="14" s="1"/>
  <c r="AD23" i="14" s="1"/>
  <c r="S24" i="17" s="1"/>
  <c r="F22" i="17"/>
  <c r="C24" i="14"/>
  <c r="I24" i="14"/>
  <c r="D24" i="14"/>
  <c r="B24" i="14"/>
  <c r="A24" i="14"/>
  <c r="D20" i="15"/>
  <c r="E20" i="15"/>
  <c r="C18" i="15"/>
  <c r="A21" i="15"/>
  <c r="P24" i="14"/>
  <c r="E25" i="17" s="1"/>
  <c r="M25" i="14"/>
  <c r="N24" i="14"/>
  <c r="C25" i="17" s="1"/>
  <c r="O24" i="14"/>
  <c r="D25" i="17" s="1"/>
  <c r="B20" i="15"/>
  <c r="L23" i="17" l="1"/>
  <c r="F23" i="17"/>
  <c r="F23" i="14"/>
  <c r="H23" i="14"/>
  <c r="AA22" i="14"/>
  <c r="P23" i="17" s="1"/>
  <c r="Y22" i="14"/>
  <c r="N23" i="17" s="1"/>
  <c r="A23" i="17"/>
  <c r="Z22" i="14"/>
  <c r="O23" i="17" s="1"/>
  <c r="B26" i="17"/>
  <c r="G25" i="14"/>
  <c r="F22" i="15" s="1"/>
  <c r="AC23" i="14"/>
  <c r="R24" i="17" s="1"/>
  <c r="AB23" i="14"/>
  <c r="Q24" i="17" s="1"/>
  <c r="J22" i="17"/>
  <c r="H22" i="17"/>
  <c r="L23" i="14"/>
  <c r="Q23" i="14" s="1"/>
  <c r="E24" i="14"/>
  <c r="J24" i="14"/>
  <c r="K24" i="14" s="1"/>
  <c r="AD24" i="14" s="1"/>
  <c r="S25" i="17" s="1"/>
  <c r="C25" i="14"/>
  <c r="B25" i="14"/>
  <c r="A25" i="14"/>
  <c r="I25" i="14"/>
  <c r="D25" i="14"/>
  <c r="D21" i="15"/>
  <c r="C19" i="15"/>
  <c r="E21" i="15"/>
  <c r="P25" i="14"/>
  <c r="E26" i="17" s="1"/>
  <c r="N25" i="14"/>
  <c r="C26" i="17" s="1"/>
  <c r="O25" i="14"/>
  <c r="D26" i="17" s="1"/>
  <c r="A22" i="15"/>
  <c r="M26" i="14"/>
  <c r="B21" i="15"/>
  <c r="L24" i="17" l="1"/>
  <c r="F24" i="17"/>
  <c r="F24" i="14"/>
  <c r="H24" i="14"/>
  <c r="AA23" i="14"/>
  <c r="P24" i="17" s="1"/>
  <c r="Y23" i="14"/>
  <c r="N24" i="17" s="1"/>
  <c r="Z23" i="14"/>
  <c r="O24" i="17" s="1"/>
  <c r="B27" i="17"/>
  <c r="G26" i="14"/>
  <c r="F23" i="15" s="1"/>
  <c r="L24" i="14"/>
  <c r="Q24" i="14" s="1"/>
  <c r="AB24" i="14"/>
  <c r="Q25" i="17" s="1"/>
  <c r="AC24" i="14"/>
  <c r="R25" i="17" s="1"/>
  <c r="J23" i="17"/>
  <c r="H23" i="17"/>
  <c r="A24" i="17"/>
  <c r="E25" i="14"/>
  <c r="J25" i="14"/>
  <c r="K25" i="14" s="1"/>
  <c r="AD25" i="14" s="1"/>
  <c r="S26" i="17" s="1"/>
  <c r="C26" i="14"/>
  <c r="I26" i="14"/>
  <c r="D26" i="14"/>
  <c r="B26" i="14"/>
  <c r="A26" i="14"/>
  <c r="E22" i="15"/>
  <c r="D22" i="15"/>
  <c r="C20" i="15"/>
  <c r="N26" i="14"/>
  <c r="C27" i="17" s="1"/>
  <c r="A23" i="15"/>
  <c r="O26" i="14"/>
  <c r="D27" i="17" s="1"/>
  <c r="M27" i="14"/>
  <c r="P26" i="14"/>
  <c r="E27" i="17" s="1"/>
  <c r="B22" i="15"/>
  <c r="L25" i="17" l="1"/>
  <c r="F25" i="17"/>
  <c r="J25" i="17"/>
  <c r="H24" i="17"/>
  <c r="F25" i="14"/>
  <c r="H25" i="14"/>
  <c r="AA24" i="14"/>
  <c r="P25" i="17" s="1"/>
  <c r="Y24" i="14"/>
  <c r="N25" i="17" s="1"/>
  <c r="A25" i="17"/>
  <c r="Z24" i="14"/>
  <c r="O25" i="17" s="1"/>
  <c r="J24" i="17"/>
  <c r="B28" i="17"/>
  <c r="G27" i="14"/>
  <c r="F24" i="15" s="1"/>
  <c r="AC25" i="14"/>
  <c r="R26" i="17" s="1"/>
  <c r="AB25" i="14"/>
  <c r="Q26" i="17" s="1"/>
  <c r="E26" i="14"/>
  <c r="J26" i="14"/>
  <c r="K26" i="14" s="1"/>
  <c r="AD26" i="14" s="1"/>
  <c r="S27" i="17" s="1"/>
  <c r="C27" i="14"/>
  <c r="B27" i="14"/>
  <c r="D27" i="14"/>
  <c r="I27" i="14"/>
  <c r="A27" i="14"/>
  <c r="L25" i="14"/>
  <c r="Q25" i="14" s="1"/>
  <c r="E23" i="15"/>
  <c r="D23" i="15"/>
  <c r="C21" i="15"/>
  <c r="B23" i="15"/>
  <c r="N27" i="14"/>
  <c r="C28" i="17" s="1"/>
  <c r="O27" i="14"/>
  <c r="D28" i="17" s="1"/>
  <c r="P27" i="14"/>
  <c r="E28" i="17" s="1"/>
  <c r="M28" i="14"/>
  <c r="A24" i="15"/>
  <c r="L26" i="17" l="1"/>
  <c r="F26" i="14"/>
  <c r="H26" i="14"/>
  <c r="AA25" i="14"/>
  <c r="P26" i="17" s="1"/>
  <c r="Y25" i="14"/>
  <c r="N26" i="17" s="1"/>
  <c r="A26" i="17"/>
  <c r="Z25" i="14"/>
  <c r="O26" i="17" s="1"/>
  <c r="H25" i="17"/>
  <c r="B29" i="17"/>
  <c r="G28" i="14"/>
  <c r="F25" i="15" s="1"/>
  <c r="L26" i="14"/>
  <c r="Q26" i="14" s="1"/>
  <c r="AC26" i="14"/>
  <c r="R27" i="17" s="1"/>
  <c r="AB26" i="14"/>
  <c r="Q27" i="17" s="1"/>
  <c r="J27" i="14"/>
  <c r="K27" i="14" s="1"/>
  <c r="AD27" i="14" s="1"/>
  <c r="S28" i="17" s="1"/>
  <c r="E27" i="14"/>
  <c r="D28" i="14"/>
  <c r="I28" i="14"/>
  <c r="C28" i="14"/>
  <c r="B28" i="14"/>
  <c r="A28" i="14"/>
  <c r="F26" i="17"/>
  <c r="E24" i="15"/>
  <c r="C22" i="15"/>
  <c r="D24" i="15"/>
  <c r="A25" i="15"/>
  <c r="P28" i="14"/>
  <c r="E29" i="17" s="1"/>
  <c r="M29" i="14"/>
  <c r="O28" i="14"/>
  <c r="D29" i="17" s="1"/>
  <c r="N28" i="14"/>
  <c r="C29" i="17" s="1"/>
  <c r="B24" i="15"/>
  <c r="L27" i="17" l="1"/>
  <c r="J27" i="17"/>
  <c r="F27" i="14"/>
  <c r="H27" i="14"/>
  <c r="AA26" i="14"/>
  <c r="P27" i="17" s="1"/>
  <c r="Y26" i="14"/>
  <c r="N27" i="17" s="1"/>
  <c r="A27" i="17"/>
  <c r="Z26" i="14"/>
  <c r="O27" i="17" s="1"/>
  <c r="F27" i="17"/>
  <c r="C23" i="15"/>
  <c r="AC27" i="14"/>
  <c r="R28" i="17" s="1"/>
  <c r="AB27" i="14"/>
  <c r="Q28" i="17" s="1"/>
  <c r="B30" i="17"/>
  <c r="G29" i="14"/>
  <c r="F26" i="15" s="1"/>
  <c r="J26" i="17"/>
  <c r="H26" i="17"/>
  <c r="E28" i="14"/>
  <c r="C29" i="14"/>
  <c r="D29" i="14"/>
  <c r="B29" i="14"/>
  <c r="A29" i="14"/>
  <c r="I29" i="14"/>
  <c r="J28" i="14"/>
  <c r="K28" i="14" s="1"/>
  <c r="AD28" i="14" s="1"/>
  <c r="S29" i="17" s="1"/>
  <c r="L27" i="14"/>
  <c r="Q27" i="14" s="1"/>
  <c r="E25" i="15"/>
  <c r="D25" i="15"/>
  <c r="B25" i="15"/>
  <c r="A26" i="15"/>
  <c r="P29" i="14"/>
  <c r="E30" i="17" s="1"/>
  <c r="O29" i="14"/>
  <c r="D30" i="17" s="1"/>
  <c r="M30" i="14"/>
  <c r="N29" i="14"/>
  <c r="C30" i="17" s="1"/>
  <c r="H27" i="17" l="1"/>
  <c r="L28" i="17"/>
  <c r="S27" i="14"/>
  <c r="U27" i="14" s="1"/>
  <c r="AA27" i="14"/>
  <c r="P28" i="17" s="1"/>
  <c r="Y27" i="14"/>
  <c r="F28" i="14"/>
  <c r="H28" i="14"/>
  <c r="A28" i="17"/>
  <c r="Z27" i="14"/>
  <c r="O28" i="17" s="1"/>
  <c r="AB28" i="14"/>
  <c r="Q29" i="17" s="1"/>
  <c r="AC28" i="14"/>
  <c r="R29" i="17" s="1"/>
  <c r="B31" i="17"/>
  <c r="G30" i="14"/>
  <c r="F27" i="15" s="1"/>
  <c r="E29" i="14"/>
  <c r="L28" i="14"/>
  <c r="Q28" i="14" s="1"/>
  <c r="C30" i="14"/>
  <c r="I30" i="14"/>
  <c r="A30" i="14"/>
  <c r="D30" i="14"/>
  <c r="B30" i="14"/>
  <c r="N28" i="17"/>
  <c r="F28" i="17"/>
  <c r="J29" i="14"/>
  <c r="K29" i="14" s="1"/>
  <c r="AD29" i="14" s="1"/>
  <c r="S30" i="17" s="1"/>
  <c r="D26" i="15"/>
  <c r="C24" i="15"/>
  <c r="E26" i="15"/>
  <c r="B26" i="15"/>
  <c r="N30" i="14"/>
  <c r="C31" i="17" s="1"/>
  <c r="M31" i="14"/>
  <c r="A27" i="15"/>
  <c r="P30" i="14"/>
  <c r="E31" i="17" s="1"/>
  <c r="O30" i="14"/>
  <c r="D31" i="17" s="1"/>
  <c r="Y28" i="14" l="1"/>
  <c r="N29" i="17" s="1"/>
  <c r="AA28" i="14"/>
  <c r="F29" i="14"/>
  <c r="H29" i="14"/>
  <c r="A29" i="17"/>
  <c r="Z28" i="14"/>
  <c r="O29" i="17" s="1"/>
  <c r="B32" i="17"/>
  <c r="G31" i="14"/>
  <c r="F28" i="15" s="1"/>
  <c r="AC29" i="14"/>
  <c r="R30" i="17" s="1"/>
  <c r="AB29" i="14"/>
  <c r="Q30" i="17" s="1"/>
  <c r="J28" i="17"/>
  <c r="H28" i="17"/>
  <c r="L29" i="14"/>
  <c r="Q29" i="14" s="1"/>
  <c r="A31" i="14"/>
  <c r="C31" i="14"/>
  <c r="B31" i="14"/>
  <c r="I31" i="14"/>
  <c r="D31" i="14"/>
  <c r="E30" i="14"/>
  <c r="J30" i="14"/>
  <c r="K30" i="14" s="1"/>
  <c r="AD30" i="14" s="1"/>
  <c r="S31" i="17" s="1"/>
  <c r="L29" i="17"/>
  <c r="P29" i="17"/>
  <c r="F29" i="17"/>
  <c r="E27" i="15"/>
  <c r="C25" i="15"/>
  <c r="D27" i="15"/>
  <c r="B27" i="15"/>
  <c r="O31" i="14"/>
  <c r="D32" i="17" s="1"/>
  <c r="M32" i="14"/>
  <c r="A28" i="15"/>
  <c r="N31" i="14"/>
  <c r="C32" i="17" s="1"/>
  <c r="P31" i="14"/>
  <c r="E32" i="17" s="1"/>
  <c r="AA29" i="14" l="1"/>
  <c r="P30" i="17" s="1"/>
  <c r="Y29" i="14"/>
  <c r="N30" i="17" s="1"/>
  <c r="F30" i="14"/>
  <c r="H30" i="14"/>
  <c r="Z29" i="14"/>
  <c r="O30" i="17" s="1"/>
  <c r="AC30" i="14"/>
  <c r="R31" i="17" s="1"/>
  <c r="AB30" i="14"/>
  <c r="Q31" i="17" s="1"/>
  <c r="B33" i="17"/>
  <c r="G32" i="14"/>
  <c r="F29" i="15" s="1"/>
  <c r="E31" i="14"/>
  <c r="J29" i="17"/>
  <c r="H29" i="17"/>
  <c r="C26" i="15"/>
  <c r="A30" i="17"/>
  <c r="L30" i="14"/>
  <c r="Q30" i="14" s="1"/>
  <c r="B32" i="14"/>
  <c r="C32" i="14"/>
  <c r="I32" i="14"/>
  <c r="A32" i="14"/>
  <c r="D32" i="14"/>
  <c r="J31" i="14"/>
  <c r="K31" i="14" s="1"/>
  <c r="AD31" i="14" s="1"/>
  <c r="S32" i="17" s="1"/>
  <c r="L30" i="17"/>
  <c r="F30" i="17"/>
  <c r="D28" i="15"/>
  <c r="E28" i="15"/>
  <c r="B28" i="15"/>
  <c r="N32" i="14"/>
  <c r="C33" i="17" s="1"/>
  <c r="P32" i="14"/>
  <c r="E33" i="17" s="1"/>
  <c r="O32" i="14"/>
  <c r="D33" i="17" s="1"/>
  <c r="A29" i="15"/>
  <c r="M33" i="14"/>
  <c r="L31" i="17" l="1"/>
  <c r="F31" i="17"/>
  <c r="F31" i="14"/>
  <c r="H31" i="14"/>
  <c r="AA30" i="14"/>
  <c r="P31" i="17" s="1"/>
  <c r="Y30" i="14"/>
  <c r="N31" i="17" s="1"/>
  <c r="A31" i="17"/>
  <c r="Z30" i="14"/>
  <c r="O31" i="17" s="1"/>
  <c r="B34" i="17"/>
  <c r="G33" i="14"/>
  <c r="F30" i="15" s="1"/>
  <c r="L31" i="14"/>
  <c r="Q31" i="14" s="1"/>
  <c r="AC31" i="14"/>
  <c r="R32" i="17" s="1"/>
  <c r="AB31" i="14"/>
  <c r="Q32" i="17" s="1"/>
  <c r="E32" i="14"/>
  <c r="J30" i="17"/>
  <c r="H30" i="17"/>
  <c r="C33" i="14"/>
  <c r="I33" i="14"/>
  <c r="D33" i="14"/>
  <c r="B33" i="14"/>
  <c r="A33" i="14"/>
  <c r="J32" i="14"/>
  <c r="K32" i="14" s="1"/>
  <c r="AD32" i="14" s="1"/>
  <c r="S33" i="17" s="1"/>
  <c r="D29" i="15"/>
  <c r="C27" i="15"/>
  <c r="E29" i="15"/>
  <c r="N33" i="14"/>
  <c r="C34" i="17" s="1"/>
  <c r="O33" i="14"/>
  <c r="D34" i="17" s="1"/>
  <c r="M34" i="14"/>
  <c r="P33" i="14"/>
  <c r="E34" i="17" s="1"/>
  <c r="A30" i="15"/>
  <c r="B29" i="15"/>
  <c r="H31" i="17" l="1"/>
  <c r="L32" i="17"/>
  <c r="F32" i="17"/>
  <c r="J32" i="17"/>
  <c r="F32" i="14"/>
  <c r="H32" i="14"/>
  <c r="AA31" i="14"/>
  <c r="P32" i="17" s="1"/>
  <c r="Y31" i="14"/>
  <c r="N32" i="17" s="1"/>
  <c r="A32" i="17"/>
  <c r="Z31" i="14"/>
  <c r="O32" i="17" s="1"/>
  <c r="B35" i="17"/>
  <c r="G34" i="14"/>
  <c r="F31" i="15" s="1"/>
  <c r="AB32" i="14"/>
  <c r="Q33" i="17" s="1"/>
  <c r="AC32" i="14"/>
  <c r="R33" i="17" s="1"/>
  <c r="J31" i="17"/>
  <c r="E33" i="14"/>
  <c r="J33" i="14"/>
  <c r="K33" i="14" s="1"/>
  <c r="AD33" i="14" s="1"/>
  <c r="S34" i="17" s="1"/>
  <c r="C34" i="14"/>
  <c r="B34" i="14"/>
  <c r="D34" i="14"/>
  <c r="I34" i="14"/>
  <c r="A34" i="14"/>
  <c r="L32" i="14"/>
  <c r="Q32" i="14" s="1"/>
  <c r="D30" i="15"/>
  <c r="C28" i="15"/>
  <c r="E30" i="15"/>
  <c r="M35" i="14"/>
  <c r="A31" i="15"/>
  <c r="O34" i="14"/>
  <c r="D35" i="17" s="1"/>
  <c r="N34" i="14"/>
  <c r="C35" i="17" s="1"/>
  <c r="P34" i="14"/>
  <c r="E35" i="17" s="1"/>
  <c r="B30" i="15"/>
  <c r="L33" i="17" l="1"/>
  <c r="H32" i="17"/>
  <c r="F33" i="14"/>
  <c r="H33" i="14"/>
  <c r="AA32" i="14"/>
  <c r="P33" i="17" s="1"/>
  <c r="Y32" i="14"/>
  <c r="N33" i="17" s="1"/>
  <c r="A33" i="17"/>
  <c r="Z32" i="14"/>
  <c r="O33" i="17" s="1"/>
  <c r="AC33" i="14"/>
  <c r="R34" i="17" s="1"/>
  <c r="AB33" i="14"/>
  <c r="Q34" i="17" s="1"/>
  <c r="B36" i="17"/>
  <c r="G35" i="14"/>
  <c r="F32" i="15" s="1"/>
  <c r="E34" i="14"/>
  <c r="L33" i="14"/>
  <c r="Q33" i="14" s="1"/>
  <c r="F33" i="17"/>
  <c r="J34" i="14"/>
  <c r="K34" i="14" s="1"/>
  <c r="AD34" i="14" s="1"/>
  <c r="S35" i="17" s="1"/>
  <c r="A35" i="14"/>
  <c r="C35" i="14"/>
  <c r="D35" i="14"/>
  <c r="B35" i="14"/>
  <c r="I35" i="14"/>
  <c r="D31" i="15"/>
  <c r="E31" i="15"/>
  <c r="C29" i="15"/>
  <c r="B31" i="15"/>
  <c r="N35" i="14"/>
  <c r="C36" i="17" s="1"/>
  <c r="O35" i="14"/>
  <c r="D36" i="17" s="1"/>
  <c r="P35" i="14"/>
  <c r="E36" i="17" s="1"/>
  <c r="M36" i="14"/>
  <c r="A32" i="15"/>
  <c r="L34" i="17" l="1"/>
  <c r="F34" i="17"/>
  <c r="F34" i="14"/>
  <c r="H34" i="14"/>
  <c r="AA33" i="14"/>
  <c r="P34" i="17" s="1"/>
  <c r="Y33" i="14"/>
  <c r="N34" i="17" s="1"/>
  <c r="A34" i="17"/>
  <c r="Z33" i="14"/>
  <c r="O34" i="17" s="1"/>
  <c r="B37" i="17"/>
  <c r="G36" i="14"/>
  <c r="F33" i="15" s="1"/>
  <c r="L34" i="14"/>
  <c r="Q34" i="14" s="1"/>
  <c r="AC34" i="14"/>
  <c r="R35" i="17" s="1"/>
  <c r="AB34" i="14"/>
  <c r="Q35" i="17" s="1"/>
  <c r="J33" i="17"/>
  <c r="H33" i="17"/>
  <c r="E35" i="14"/>
  <c r="H35" i="14" s="1"/>
  <c r="J35" i="14"/>
  <c r="K35" i="14" s="1"/>
  <c r="AD35" i="14" s="1"/>
  <c r="S36" i="17" s="1"/>
  <c r="B36" i="14"/>
  <c r="C36" i="14"/>
  <c r="I36" i="14"/>
  <c r="A36" i="14"/>
  <c r="D36" i="14"/>
  <c r="E32" i="15"/>
  <c r="D32" i="15"/>
  <c r="C30" i="15"/>
  <c r="B32" i="15"/>
  <c r="A33" i="15"/>
  <c r="O36" i="14"/>
  <c r="D37" i="17" s="1"/>
  <c r="N36" i="14"/>
  <c r="C37" i="17" s="1"/>
  <c r="P36" i="14"/>
  <c r="E37" i="17" s="1"/>
  <c r="M40" i="14"/>
  <c r="L35" i="17" l="1"/>
  <c r="F35" i="17"/>
  <c r="S34" i="14"/>
  <c r="U34" i="14" s="1"/>
  <c r="J35" i="17" s="1"/>
  <c r="AA34" i="14"/>
  <c r="P35" i="17" s="1"/>
  <c r="Y34" i="14"/>
  <c r="N35" i="17" s="1"/>
  <c r="A35" i="17"/>
  <c r="Z34" i="14"/>
  <c r="O35" i="17" s="1"/>
  <c r="B41" i="17"/>
  <c r="G40" i="14"/>
  <c r="F35" i="15" s="1"/>
  <c r="L35" i="14"/>
  <c r="AC35" i="14"/>
  <c r="R36" i="17" s="1"/>
  <c r="AB35" i="14"/>
  <c r="Q36" i="17" s="1"/>
  <c r="F35" i="14"/>
  <c r="J34" i="17"/>
  <c r="H34" i="17"/>
  <c r="J36" i="14"/>
  <c r="K36" i="14" s="1"/>
  <c r="AD36" i="14" s="1"/>
  <c r="S37" i="17" s="1"/>
  <c r="E36" i="14"/>
  <c r="C40" i="14"/>
  <c r="D40" i="14"/>
  <c r="B40" i="14"/>
  <c r="A40" i="14"/>
  <c r="I40" i="14"/>
  <c r="D33" i="15"/>
  <c r="C31" i="15"/>
  <c r="E33" i="15"/>
  <c r="O40" i="14"/>
  <c r="D41" i="17" s="1"/>
  <c r="M41" i="14"/>
  <c r="P40" i="14"/>
  <c r="E41" i="17" s="1"/>
  <c r="A35" i="15"/>
  <c r="N40" i="14"/>
  <c r="C41" i="17" s="1"/>
  <c r="B33" i="15"/>
  <c r="AA35" i="14" l="1"/>
  <c r="P36" i="17" s="1"/>
  <c r="Q35" i="14"/>
  <c r="N36" i="17"/>
  <c r="L36" i="17"/>
  <c r="F36" i="17"/>
  <c r="H36" i="17"/>
  <c r="F36" i="14"/>
  <c r="H36" i="14"/>
  <c r="A36" i="17"/>
  <c r="Z35" i="14"/>
  <c r="O36" i="17" s="1"/>
  <c r="H35" i="17"/>
  <c r="AB36" i="14"/>
  <c r="Q37" i="17" s="1"/>
  <c r="AC36" i="14"/>
  <c r="R37" i="17" s="1"/>
  <c r="B42" i="17"/>
  <c r="G41" i="14"/>
  <c r="F36" i="15" s="1"/>
  <c r="L36" i="14"/>
  <c r="Q36" i="14" s="1"/>
  <c r="E40" i="14"/>
  <c r="C41" i="14"/>
  <c r="B41" i="14"/>
  <c r="D41" i="14"/>
  <c r="I41" i="14"/>
  <c r="A41" i="14"/>
  <c r="J40" i="14"/>
  <c r="K40" i="14" s="1"/>
  <c r="AD40" i="14" s="1"/>
  <c r="S41" i="17" s="1"/>
  <c r="C32" i="15"/>
  <c r="E35" i="15"/>
  <c r="D35" i="15"/>
  <c r="B35" i="15"/>
  <c r="M42" i="14"/>
  <c r="O41" i="14"/>
  <c r="D42" i="17" s="1"/>
  <c r="P41" i="14"/>
  <c r="E42" i="17" s="1"/>
  <c r="N41" i="14"/>
  <c r="C42" i="17" s="1"/>
  <c r="A36" i="15"/>
  <c r="J36" i="17" l="1"/>
  <c r="L37" i="17"/>
  <c r="F37" i="17"/>
  <c r="F39" i="17" s="1"/>
  <c r="AA405" i="17" s="1"/>
  <c r="AA36" i="14"/>
  <c r="P37" i="17" s="1"/>
  <c r="Y36" i="14"/>
  <c r="N37" i="17" s="1"/>
  <c r="F40" i="14"/>
  <c r="H40" i="14"/>
  <c r="A37" i="17"/>
  <c r="Z36" i="14"/>
  <c r="O37" i="17" s="1"/>
  <c r="AC40" i="14"/>
  <c r="R41" i="17" s="1"/>
  <c r="AB40" i="14"/>
  <c r="Q41" i="17" s="1"/>
  <c r="B43" i="17"/>
  <c r="G42" i="14"/>
  <c r="F37" i="15" s="1"/>
  <c r="E41" i="14"/>
  <c r="L40" i="14"/>
  <c r="Q40" i="14" s="1"/>
  <c r="J41" i="14"/>
  <c r="K41" i="14" s="1"/>
  <c r="AD41" i="14" s="1"/>
  <c r="S42" i="17" s="1"/>
  <c r="B42" i="14"/>
  <c r="D42" i="14"/>
  <c r="A42" i="14"/>
  <c r="C42" i="14"/>
  <c r="I42" i="14"/>
  <c r="E36" i="15"/>
  <c r="D36" i="15"/>
  <c r="C33" i="15"/>
  <c r="B36" i="15"/>
  <c r="P42" i="14"/>
  <c r="E43" i="17" s="1"/>
  <c r="M43" i="14"/>
  <c r="N42" i="14"/>
  <c r="C43" i="17" s="1"/>
  <c r="O42" i="14"/>
  <c r="D43" i="17" s="1"/>
  <c r="A37" i="15"/>
  <c r="F41" i="14" l="1"/>
  <c r="H41" i="14"/>
  <c r="AA40" i="14"/>
  <c r="Y40" i="14"/>
  <c r="N41" i="17" s="1"/>
  <c r="A41" i="17"/>
  <c r="Z40" i="14"/>
  <c r="O41" i="17" s="1"/>
  <c r="B44" i="17"/>
  <c r="G43" i="14"/>
  <c r="F38" i="15" s="1"/>
  <c r="AC41" i="14"/>
  <c r="R42" i="17" s="1"/>
  <c r="AB41" i="14"/>
  <c r="Q42" i="17" s="1"/>
  <c r="Z9" i="17"/>
  <c r="AA9" i="17" s="1"/>
  <c r="AC9" i="17" s="1"/>
  <c r="Z8" i="17"/>
  <c r="J37" i="17"/>
  <c r="H37" i="17"/>
  <c r="Z17" i="17"/>
  <c r="AA17" i="17" s="1"/>
  <c r="AC17" i="17" s="1"/>
  <c r="Z19" i="17"/>
  <c r="AA19" i="17" s="1"/>
  <c r="AC19" i="17" s="1"/>
  <c r="Z18" i="17"/>
  <c r="AA18" i="17" s="1"/>
  <c r="AC18" i="17" s="1"/>
  <c r="Z22" i="17"/>
  <c r="AA22" i="17" s="1"/>
  <c r="AC22" i="17" s="1"/>
  <c r="Z21" i="17"/>
  <c r="AA21" i="17" s="1"/>
  <c r="AC21" i="17" s="1"/>
  <c r="AA20" i="17"/>
  <c r="AC20" i="17" s="1"/>
  <c r="Z24" i="17"/>
  <c r="Z16" i="17"/>
  <c r="AA16" i="17" s="1"/>
  <c r="AC16" i="17" s="1"/>
  <c r="Z15" i="17"/>
  <c r="AA15" i="17" s="1"/>
  <c r="AC15" i="17" s="1"/>
  <c r="L41" i="14"/>
  <c r="Q41" i="14" s="1"/>
  <c r="J42" i="14"/>
  <c r="K42" i="14" s="1"/>
  <c r="AD42" i="14" s="1"/>
  <c r="S43" i="17" s="1"/>
  <c r="D43" i="14"/>
  <c r="C43" i="14"/>
  <c r="B43" i="14"/>
  <c r="I43" i="14"/>
  <c r="A43" i="14"/>
  <c r="E42" i="14"/>
  <c r="L41" i="17"/>
  <c r="F41" i="17"/>
  <c r="E37" i="15"/>
  <c r="D37" i="15"/>
  <c r="C35" i="15"/>
  <c r="B37" i="15"/>
  <c r="P41" i="17"/>
  <c r="O43" i="14"/>
  <c r="D44" i="17" s="1"/>
  <c r="P43" i="14"/>
  <c r="E44" i="17" s="1"/>
  <c r="M44" i="14"/>
  <c r="N43" i="14"/>
  <c r="C44" i="17" s="1"/>
  <c r="A38" i="15"/>
  <c r="H41" i="17" l="1"/>
  <c r="L42" i="17"/>
  <c r="F42" i="17"/>
  <c r="F42" i="14"/>
  <c r="H42" i="14"/>
  <c r="AA41" i="14"/>
  <c r="P42" i="17" s="1"/>
  <c r="Y41" i="14"/>
  <c r="N42" i="17" s="1"/>
  <c r="A42" i="17"/>
  <c r="Z41" i="14"/>
  <c r="O42" i="17" s="1"/>
  <c r="B45" i="17"/>
  <c r="G44" i="14"/>
  <c r="F39" i="15" s="1"/>
  <c r="L42" i="14"/>
  <c r="Q42" i="14" s="1"/>
  <c r="AC42" i="14"/>
  <c r="R43" i="17" s="1"/>
  <c r="AB42" i="14"/>
  <c r="Q43" i="17" s="1"/>
  <c r="J41" i="17"/>
  <c r="Z23" i="17"/>
  <c r="AA23" i="17" s="1"/>
  <c r="AC23" i="17" s="1"/>
  <c r="AA24" i="17"/>
  <c r="AC24" i="17" s="1"/>
  <c r="Z14" i="17"/>
  <c r="AA14" i="17" s="1"/>
  <c r="AC14" i="17" s="1"/>
  <c r="Z13" i="17"/>
  <c r="AA13" i="17" s="1"/>
  <c r="AC13" i="17" s="1"/>
  <c r="AA8" i="17"/>
  <c r="AC8" i="17" s="1"/>
  <c r="Z11" i="17"/>
  <c r="AA11" i="17" s="1"/>
  <c r="AC11" i="17" s="1"/>
  <c r="Z10" i="17"/>
  <c r="AA10" i="17" s="1"/>
  <c r="AC10" i="17" s="1"/>
  <c r="Z12" i="17"/>
  <c r="AA12" i="17" s="1"/>
  <c r="AC12" i="17" s="1"/>
  <c r="E43" i="14"/>
  <c r="J43" i="14"/>
  <c r="K43" i="14" s="1"/>
  <c r="AD43" i="14" s="1"/>
  <c r="S44" i="17" s="1"/>
  <c r="C44" i="14"/>
  <c r="B44" i="14"/>
  <c r="I44" i="14"/>
  <c r="A44" i="14"/>
  <c r="D44" i="14"/>
  <c r="C36" i="15"/>
  <c r="E38" i="15"/>
  <c r="D38" i="15"/>
  <c r="B38" i="15"/>
  <c r="O44" i="14"/>
  <c r="D45" i="17" s="1"/>
  <c r="A39" i="15"/>
  <c r="P44" i="14"/>
  <c r="E45" i="17" s="1"/>
  <c r="M45" i="14"/>
  <c r="N44" i="14"/>
  <c r="C45" i="17" s="1"/>
  <c r="L43" i="17" l="1"/>
  <c r="F43" i="17"/>
  <c r="J43" i="17"/>
  <c r="AA42" i="14"/>
  <c r="P43" i="17" s="1"/>
  <c r="Y42" i="14"/>
  <c r="N43" i="17" s="1"/>
  <c r="F43" i="14"/>
  <c r="H43" i="14"/>
  <c r="A43" i="17"/>
  <c r="Z42" i="14"/>
  <c r="O43" i="17" s="1"/>
  <c r="E44" i="14"/>
  <c r="B46" i="17"/>
  <c r="G45" i="14"/>
  <c r="F40" i="15" s="1"/>
  <c r="L43" i="14"/>
  <c r="Q43" i="14" s="1"/>
  <c r="AB43" i="14"/>
  <c r="Q44" i="17" s="1"/>
  <c r="AC43" i="14"/>
  <c r="R44" i="17" s="1"/>
  <c r="J42" i="17"/>
  <c r="H42" i="17"/>
  <c r="Z25" i="17"/>
  <c r="AC25" i="17"/>
  <c r="AC26" i="17" s="1"/>
  <c r="AC405" i="17" s="1"/>
  <c r="AA25" i="17"/>
  <c r="AB405" i="17" s="1"/>
  <c r="J44" i="14"/>
  <c r="K44" i="14" s="1"/>
  <c r="AD44" i="14" s="1"/>
  <c r="S45" i="17" s="1"/>
  <c r="C45" i="14"/>
  <c r="I45" i="14"/>
  <c r="B45" i="14"/>
  <c r="A45" i="14"/>
  <c r="D45" i="14"/>
  <c r="E39" i="15"/>
  <c r="C37" i="15"/>
  <c r="D39" i="15"/>
  <c r="P45" i="14"/>
  <c r="E46" i="17" s="1"/>
  <c r="O45" i="14"/>
  <c r="D46" i="17" s="1"/>
  <c r="M46" i="14"/>
  <c r="A40" i="15"/>
  <c r="N45" i="14"/>
  <c r="C46" i="17" s="1"/>
  <c r="B39" i="15"/>
  <c r="H43" i="17" l="1"/>
  <c r="L44" i="17"/>
  <c r="F44" i="17"/>
  <c r="J44" i="17"/>
  <c r="F44" i="14"/>
  <c r="H44" i="14"/>
  <c r="AA43" i="14"/>
  <c r="P44" i="17" s="1"/>
  <c r="Y43" i="14"/>
  <c r="N44" i="17" s="1"/>
  <c r="A44" i="17"/>
  <c r="Z43" i="14"/>
  <c r="O44" i="17" s="1"/>
  <c r="L44" i="14"/>
  <c r="Q44" i="14" s="1"/>
  <c r="AC44" i="14"/>
  <c r="R45" i="17" s="1"/>
  <c r="AB44" i="14"/>
  <c r="Q45" i="17" s="1"/>
  <c r="B47" i="17"/>
  <c r="G46" i="14"/>
  <c r="F41" i="15" s="1"/>
  <c r="E45" i="14"/>
  <c r="B46" i="14"/>
  <c r="C46" i="14"/>
  <c r="A46" i="14"/>
  <c r="I46" i="14"/>
  <c r="D46" i="14"/>
  <c r="J45" i="14"/>
  <c r="K45" i="14" s="1"/>
  <c r="AD45" i="14" s="1"/>
  <c r="S46" i="17" s="1"/>
  <c r="D40" i="15"/>
  <c r="E40" i="15"/>
  <c r="C38" i="15"/>
  <c r="B40" i="15"/>
  <c r="M47" i="14"/>
  <c r="P46" i="14"/>
  <c r="E47" i="17" s="1"/>
  <c r="A41" i="15"/>
  <c r="O46" i="14"/>
  <c r="D47" i="17" s="1"/>
  <c r="N46" i="14"/>
  <c r="C47" i="17" s="1"/>
  <c r="L45" i="17" l="1"/>
  <c r="F45" i="17"/>
  <c r="J45" i="17"/>
  <c r="AA44" i="14"/>
  <c r="P45" i="17" s="1"/>
  <c r="Y44" i="14"/>
  <c r="N45" i="17" s="1"/>
  <c r="F45" i="14"/>
  <c r="H45" i="14"/>
  <c r="A45" i="17"/>
  <c r="Z44" i="14"/>
  <c r="O45" i="17" s="1"/>
  <c r="H44" i="17"/>
  <c r="B48" i="17"/>
  <c r="G47" i="14"/>
  <c r="F42" i="15" s="1"/>
  <c r="L45" i="14"/>
  <c r="Q45" i="14" s="1"/>
  <c r="AC45" i="14"/>
  <c r="R46" i="17" s="1"/>
  <c r="AB45" i="14"/>
  <c r="Q46" i="17" s="1"/>
  <c r="E46" i="14"/>
  <c r="J46" i="14"/>
  <c r="K46" i="14" s="1"/>
  <c r="AD46" i="14" s="1"/>
  <c r="S47" i="17" s="1"/>
  <c r="A47" i="14"/>
  <c r="D47" i="14"/>
  <c r="B47" i="14"/>
  <c r="I47" i="14"/>
  <c r="C47" i="14"/>
  <c r="C39" i="15"/>
  <c r="E41" i="15"/>
  <c r="D41" i="15"/>
  <c r="B41" i="15"/>
  <c r="P47" i="14"/>
  <c r="E48" i="17" s="1"/>
  <c r="M48" i="14"/>
  <c r="A42" i="15"/>
  <c r="O47" i="14"/>
  <c r="D48" i="17" s="1"/>
  <c r="N47" i="14"/>
  <c r="C48" i="17" s="1"/>
  <c r="L46" i="17" l="1"/>
  <c r="F46" i="17"/>
  <c r="J46" i="17"/>
  <c r="AA45" i="14"/>
  <c r="P46" i="17" s="1"/>
  <c r="Y45" i="14"/>
  <c r="N46" i="17" s="1"/>
  <c r="F46" i="14"/>
  <c r="H46" i="14"/>
  <c r="H45" i="17"/>
  <c r="A46" i="17"/>
  <c r="Z45" i="14"/>
  <c r="O46" i="17" s="1"/>
  <c r="B49" i="17"/>
  <c r="G48" i="14"/>
  <c r="F43" i="15" s="1"/>
  <c r="AC46" i="14"/>
  <c r="R47" i="17" s="1"/>
  <c r="AB46" i="14"/>
  <c r="Q47" i="17" s="1"/>
  <c r="E47" i="14"/>
  <c r="L46" i="14"/>
  <c r="Q46" i="14" s="1"/>
  <c r="J47" i="14"/>
  <c r="K47" i="14" s="1"/>
  <c r="AD47" i="14" s="1"/>
  <c r="S48" i="17" s="1"/>
  <c r="C48" i="14"/>
  <c r="B48" i="14"/>
  <c r="I48" i="14"/>
  <c r="A48" i="14"/>
  <c r="D48" i="14"/>
  <c r="D42" i="15"/>
  <c r="E42" i="15"/>
  <c r="C40" i="15"/>
  <c r="B42" i="15"/>
  <c r="A43" i="15"/>
  <c r="M49" i="14"/>
  <c r="O48" i="14"/>
  <c r="D49" i="17" s="1"/>
  <c r="P48" i="14"/>
  <c r="E49" i="17" s="1"/>
  <c r="N48" i="14"/>
  <c r="C49" i="17" s="1"/>
  <c r="H46" i="17" l="1"/>
  <c r="W46" i="14"/>
  <c r="L47" i="17" s="1"/>
  <c r="F47" i="17"/>
  <c r="S46" i="14"/>
  <c r="U46" i="14" s="1"/>
  <c r="J47" i="17" s="1"/>
  <c r="AA46" i="14"/>
  <c r="P47" i="17" s="1"/>
  <c r="Y46" i="14"/>
  <c r="N47" i="17" s="1"/>
  <c r="F47" i="14"/>
  <c r="H47" i="14"/>
  <c r="Z46" i="14"/>
  <c r="O47" i="17" s="1"/>
  <c r="B50" i="17"/>
  <c r="G49" i="14"/>
  <c r="F44" i="15" s="1"/>
  <c r="AB47" i="14"/>
  <c r="Q48" i="17" s="1"/>
  <c r="AC47" i="14"/>
  <c r="R48" i="17" s="1"/>
  <c r="A47" i="17"/>
  <c r="C49" i="14"/>
  <c r="A49" i="14"/>
  <c r="D49" i="14"/>
  <c r="B49" i="14"/>
  <c r="I49" i="14"/>
  <c r="E48" i="14"/>
  <c r="J48" i="14"/>
  <c r="K48" i="14" s="1"/>
  <c r="AD48" i="14" s="1"/>
  <c r="S49" i="17" s="1"/>
  <c r="L47" i="14"/>
  <c r="Q47" i="14" s="1"/>
  <c r="C41" i="15"/>
  <c r="E43" i="15"/>
  <c r="D43" i="15"/>
  <c r="B43" i="15"/>
  <c r="O49" i="14"/>
  <c r="D50" i="17" s="1"/>
  <c r="M50" i="14"/>
  <c r="P49" i="14"/>
  <c r="E50" i="17" s="1"/>
  <c r="N49" i="14"/>
  <c r="C50" i="17" s="1"/>
  <c r="A44" i="15"/>
  <c r="L48" i="17" l="1"/>
  <c r="F48" i="17"/>
  <c r="AA47" i="14"/>
  <c r="P48" i="17" s="1"/>
  <c r="Y47" i="14"/>
  <c r="N48" i="17" s="1"/>
  <c r="F48" i="14"/>
  <c r="H48" i="14"/>
  <c r="A48" i="17"/>
  <c r="Z47" i="14"/>
  <c r="O48" i="17" s="1"/>
  <c r="B51" i="17"/>
  <c r="G50" i="14"/>
  <c r="F45" i="15" s="1"/>
  <c r="AC48" i="14"/>
  <c r="R49" i="17" s="1"/>
  <c r="AB48" i="14"/>
  <c r="Q49" i="17" s="1"/>
  <c r="H47" i="17"/>
  <c r="E49" i="14"/>
  <c r="L48" i="14"/>
  <c r="Q48" i="14" s="1"/>
  <c r="J49" i="14"/>
  <c r="K49" i="14" s="1"/>
  <c r="AD49" i="14" s="1"/>
  <c r="S50" i="17" s="1"/>
  <c r="B50" i="14"/>
  <c r="D50" i="14"/>
  <c r="C50" i="14"/>
  <c r="A50" i="14"/>
  <c r="I50" i="14"/>
  <c r="D44" i="15"/>
  <c r="C42" i="15"/>
  <c r="E44" i="15"/>
  <c r="B44" i="15"/>
  <c r="A45" i="15"/>
  <c r="M51" i="14"/>
  <c r="N50" i="14"/>
  <c r="C51" i="17" s="1"/>
  <c r="P50" i="14"/>
  <c r="E51" i="17" s="1"/>
  <c r="O50" i="14"/>
  <c r="D51" i="17" s="1"/>
  <c r="H48" i="17" l="1"/>
  <c r="L49" i="17"/>
  <c r="F49" i="14"/>
  <c r="H49" i="14"/>
  <c r="AA48" i="14"/>
  <c r="P49" i="17" s="1"/>
  <c r="Y48" i="14"/>
  <c r="N49" i="17" s="1"/>
  <c r="A49" i="17"/>
  <c r="Z48" i="14"/>
  <c r="O49" i="17" s="1"/>
  <c r="B52" i="17"/>
  <c r="G51" i="14"/>
  <c r="F46" i="15" s="1"/>
  <c r="AC49" i="14"/>
  <c r="R50" i="17" s="1"/>
  <c r="AB49" i="14"/>
  <c r="Q50" i="17" s="1"/>
  <c r="E50" i="14"/>
  <c r="J48" i="17"/>
  <c r="L49" i="14"/>
  <c r="Q49" i="14" s="1"/>
  <c r="J50" i="14"/>
  <c r="K50" i="14" s="1"/>
  <c r="AD50" i="14" s="1"/>
  <c r="S51" i="17" s="1"/>
  <c r="F49" i="17"/>
  <c r="B51" i="14"/>
  <c r="C51" i="14"/>
  <c r="A51" i="14"/>
  <c r="D51" i="14"/>
  <c r="I51" i="14"/>
  <c r="D45" i="15"/>
  <c r="C43" i="15"/>
  <c r="E45" i="15"/>
  <c r="B45" i="15"/>
  <c r="P51" i="14"/>
  <c r="E52" i="17" s="1"/>
  <c r="A46" i="15"/>
  <c r="O51" i="14"/>
  <c r="D52" i="17" s="1"/>
  <c r="M52" i="14"/>
  <c r="N51" i="14"/>
  <c r="C52" i="17" s="1"/>
  <c r="L50" i="17" l="1"/>
  <c r="F50" i="17"/>
  <c r="F50" i="14"/>
  <c r="H50" i="14"/>
  <c r="AA49" i="14"/>
  <c r="P50" i="17" s="1"/>
  <c r="Y49" i="14"/>
  <c r="N50" i="17" s="1"/>
  <c r="A50" i="17"/>
  <c r="Z49" i="14"/>
  <c r="O50" i="17" s="1"/>
  <c r="B53" i="17"/>
  <c r="G52" i="14"/>
  <c r="F47" i="15" s="1"/>
  <c r="AC50" i="14"/>
  <c r="R51" i="17" s="1"/>
  <c r="AB50" i="14"/>
  <c r="Q51" i="17" s="1"/>
  <c r="J49" i="17"/>
  <c r="H49" i="17"/>
  <c r="L50" i="14"/>
  <c r="Q50" i="14" s="1"/>
  <c r="J51" i="14"/>
  <c r="K51" i="14" s="1"/>
  <c r="AD51" i="14" s="1"/>
  <c r="S52" i="17" s="1"/>
  <c r="C52" i="14"/>
  <c r="A52" i="14"/>
  <c r="D52" i="14"/>
  <c r="B52" i="14"/>
  <c r="I52" i="14"/>
  <c r="E51" i="14"/>
  <c r="D46" i="15"/>
  <c r="E46" i="15"/>
  <c r="C44" i="15"/>
  <c r="B46" i="15"/>
  <c r="M53" i="14"/>
  <c r="A47" i="15"/>
  <c r="N52" i="14"/>
  <c r="C53" i="17" s="1"/>
  <c r="P52" i="14"/>
  <c r="E53" i="17" s="1"/>
  <c r="O52" i="14"/>
  <c r="D53" i="17" s="1"/>
  <c r="L51" i="17" l="1"/>
  <c r="F51" i="14"/>
  <c r="H51" i="14"/>
  <c r="AA50" i="14"/>
  <c r="P51" i="17" s="1"/>
  <c r="Y50" i="14"/>
  <c r="N51" i="17" s="1"/>
  <c r="A51" i="17"/>
  <c r="Z50" i="14"/>
  <c r="O51" i="17" s="1"/>
  <c r="B54" i="17"/>
  <c r="G53" i="14"/>
  <c r="F48" i="15" s="1"/>
  <c r="AB51" i="14"/>
  <c r="Q52" i="17" s="1"/>
  <c r="AC51" i="14"/>
  <c r="R52" i="17" s="1"/>
  <c r="J50" i="17"/>
  <c r="H50" i="17"/>
  <c r="L51" i="14"/>
  <c r="Q51" i="14" s="1"/>
  <c r="E52" i="14"/>
  <c r="F51" i="17"/>
  <c r="C53" i="14"/>
  <c r="D53" i="14"/>
  <c r="B53" i="14"/>
  <c r="I53" i="14"/>
  <c r="A53" i="14"/>
  <c r="J52" i="14"/>
  <c r="K52" i="14" s="1"/>
  <c r="AD52" i="14" s="1"/>
  <c r="S53" i="17" s="1"/>
  <c r="D47" i="15"/>
  <c r="C45" i="15"/>
  <c r="E47" i="15"/>
  <c r="P53" i="14"/>
  <c r="E54" i="17" s="1"/>
  <c r="N53" i="14"/>
  <c r="C54" i="17" s="1"/>
  <c r="A48" i="15"/>
  <c r="M54" i="14"/>
  <c r="O53" i="14"/>
  <c r="D54" i="17" s="1"/>
  <c r="B47" i="15"/>
  <c r="W51" i="14" l="1"/>
  <c r="L52" i="17" s="1"/>
  <c r="F52" i="17"/>
  <c r="S51" i="14"/>
  <c r="U51" i="14" s="1"/>
  <c r="J52" i="17" s="1"/>
  <c r="F52" i="14"/>
  <c r="H52" i="14"/>
  <c r="AA51" i="14"/>
  <c r="P52" i="17" s="1"/>
  <c r="Y51" i="14"/>
  <c r="N52" i="17" s="1"/>
  <c r="Z51" i="14"/>
  <c r="O52" i="17" s="1"/>
  <c r="B55" i="17"/>
  <c r="G54" i="14"/>
  <c r="F49" i="15" s="1"/>
  <c r="AC52" i="14"/>
  <c r="R53" i="17" s="1"/>
  <c r="AB52" i="14"/>
  <c r="Q53" i="17" s="1"/>
  <c r="J51" i="17"/>
  <c r="H51" i="17"/>
  <c r="A52" i="17"/>
  <c r="L52" i="14"/>
  <c r="Q52" i="14" s="1"/>
  <c r="A54" i="14"/>
  <c r="C54" i="14"/>
  <c r="I54" i="14"/>
  <c r="D54" i="14"/>
  <c r="B54" i="14"/>
  <c r="E53" i="14"/>
  <c r="J53" i="14"/>
  <c r="K53" i="14" s="1"/>
  <c r="AD53" i="14" s="1"/>
  <c r="S54" i="17" s="1"/>
  <c r="E48" i="15"/>
  <c r="D48" i="15"/>
  <c r="C46" i="15"/>
  <c r="B48" i="15"/>
  <c r="N54" i="14"/>
  <c r="C55" i="17" s="1"/>
  <c r="A49" i="15"/>
  <c r="O54" i="14"/>
  <c r="D55" i="17" s="1"/>
  <c r="M55" i="14"/>
  <c r="P54" i="14"/>
  <c r="E55" i="17" s="1"/>
  <c r="L53" i="17" l="1"/>
  <c r="F53" i="17"/>
  <c r="AA52" i="14"/>
  <c r="P53" i="17" s="1"/>
  <c r="Y52" i="14"/>
  <c r="N53" i="17" s="1"/>
  <c r="F53" i="14"/>
  <c r="H53" i="14"/>
  <c r="A53" i="17"/>
  <c r="Z52" i="14"/>
  <c r="O53" i="17" s="1"/>
  <c r="B56" i="17"/>
  <c r="G55" i="14"/>
  <c r="F50" i="15" s="1"/>
  <c r="L53" i="14"/>
  <c r="AC53" i="14"/>
  <c r="R54" i="17" s="1"/>
  <c r="AB53" i="14"/>
  <c r="Q54" i="17" s="1"/>
  <c r="H52" i="17"/>
  <c r="E54" i="14"/>
  <c r="J54" i="14"/>
  <c r="K54" i="14" s="1"/>
  <c r="AD54" i="14" s="1"/>
  <c r="S55" i="17" s="1"/>
  <c r="C55" i="14"/>
  <c r="A55" i="14"/>
  <c r="D55" i="14"/>
  <c r="B55" i="14"/>
  <c r="I55" i="14"/>
  <c r="E49" i="15"/>
  <c r="D49" i="15"/>
  <c r="C47" i="15"/>
  <c r="B49" i="15"/>
  <c r="P55" i="14"/>
  <c r="E56" i="17" s="1"/>
  <c r="M56" i="14"/>
  <c r="A50" i="15"/>
  <c r="O55" i="14"/>
  <c r="D56" i="17" s="1"/>
  <c r="N55" i="14"/>
  <c r="C56" i="17" s="1"/>
  <c r="C48" i="15" l="1"/>
  <c r="Q53" i="14"/>
  <c r="L54" i="17"/>
  <c r="F54" i="17"/>
  <c r="J54" i="17"/>
  <c r="F54" i="14"/>
  <c r="H54" i="14"/>
  <c r="AA53" i="14"/>
  <c r="P54" i="17" s="1"/>
  <c r="Y53" i="14"/>
  <c r="N54" i="17" s="1"/>
  <c r="A54" i="17"/>
  <c r="Z53" i="14"/>
  <c r="O54" i="17" s="1"/>
  <c r="B57" i="17"/>
  <c r="G56" i="14"/>
  <c r="F51" i="15" s="1"/>
  <c r="L54" i="14"/>
  <c r="Q54" i="14" s="1"/>
  <c r="AC54" i="14"/>
  <c r="R55" i="17" s="1"/>
  <c r="AB54" i="14"/>
  <c r="Q55" i="17" s="1"/>
  <c r="J53" i="17"/>
  <c r="H53" i="17"/>
  <c r="E55" i="14"/>
  <c r="J55" i="14"/>
  <c r="K55" i="14" s="1"/>
  <c r="AD55" i="14" s="1"/>
  <c r="S56" i="17" s="1"/>
  <c r="C56" i="14"/>
  <c r="B56" i="14"/>
  <c r="I56" i="14"/>
  <c r="A56" i="14"/>
  <c r="D56" i="14"/>
  <c r="E50" i="15"/>
  <c r="D50" i="15"/>
  <c r="B50" i="15"/>
  <c r="M57" i="14"/>
  <c r="A51" i="15"/>
  <c r="P56" i="14"/>
  <c r="E57" i="17" s="1"/>
  <c r="O56" i="14"/>
  <c r="D57" i="17" s="1"/>
  <c r="N56" i="14"/>
  <c r="C57" i="17" s="1"/>
  <c r="L55" i="17" l="1"/>
  <c r="H55" i="17"/>
  <c r="F55" i="14"/>
  <c r="H55" i="14"/>
  <c r="AA54" i="14"/>
  <c r="P55" i="17" s="1"/>
  <c r="Y54" i="14"/>
  <c r="N55" i="17" s="1"/>
  <c r="A55" i="17"/>
  <c r="Z54" i="14"/>
  <c r="O55" i="17" s="1"/>
  <c r="F55" i="17"/>
  <c r="H54" i="17"/>
  <c r="B58" i="17"/>
  <c r="G57" i="14"/>
  <c r="F52" i="15" s="1"/>
  <c r="AB55" i="14"/>
  <c r="Q56" i="17" s="1"/>
  <c r="AC55" i="14"/>
  <c r="R56" i="17" s="1"/>
  <c r="E56" i="14"/>
  <c r="L55" i="14"/>
  <c r="Q55" i="14" s="1"/>
  <c r="J56" i="14"/>
  <c r="K56" i="14" s="1"/>
  <c r="AD56" i="14" s="1"/>
  <c r="S57" i="17" s="1"/>
  <c r="C57" i="14"/>
  <c r="D57" i="14"/>
  <c r="I57" i="14"/>
  <c r="B57" i="14"/>
  <c r="A57" i="14"/>
  <c r="D51" i="15"/>
  <c r="E51" i="15"/>
  <c r="C49" i="15"/>
  <c r="M58" i="14"/>
  <c r="N57" i="14"/>
  <c r="C58" i="17" s="1"/>
  <c r="O57" i="14"/>
  <c r="D58" i="17" s="1"/>
  <c r="P57" i="14"/>
  <c r="E58" i="17" s="1"/>
  <c r="A52" i="15"/>
  <c r="B51" i="15"/>
  <c r="L56" i="17" l="1"/>
  <c r="F56" i="17"/>
  <c r="J55" i="17"/>
  <c r="F56" i="14"/>
  <c r="H56" i="14"/>
  <c r="AA55" i="14"/>
  <c r="P56" i="17" s="1"/>
  <c r="Y55" i="14"/>
  <c r="N56" i="17" s="1"/>
  <c r="A56" i="17"/>
  <c r="Z55" i="14"/>
  <c r="O56" i="17" s="1"/>
  <c r="L56" i="14"/>
  <c r="Q56" i="14" s="1"/>
  <c r="AC56" i="14"/>
  <c r="R57" i="17" s="1"/>
  <c r="AB56" i="14"/>
  <c r="Q57" i="17" s="1"/>
  <c r="B59" i="17"/>
  <c r="G58" i="14"/>
  <c r="F53" i="15" s="1"/>
  <c r="E57" i="14"/>
  <c r="J57" i="14"/>
  <c r="K57" i="14" s="1"/>
  <c r="AD57" i="14" s="1"/>
  <c r="S58" i="17" s="1"/>
  <c r="A58" i="14"/>
  <c r="B58" i="14"/>
  <c r="C58" i="14"/>
  <c r="I58" i="14"/>
  <c r="D58" i="14"/>
  <c r="C50" i="15"/>
  <c r="E52" i="15"/>
  <c r="D52" i="15"/>
  <c r="B52" i="15"/>
  <c r="N58" i="14"/>
  <c r="C59" i="17" s="1"/>
  <c r="O58" i="14"/>
  <c r="D59" i="17" s="1"/>
  <c r="M59" i="14"/>
  <c r="P58" i="14"/>
  <c r="E59" i="17" s="1"/>
  <c r="A53" i="15"/>
  <c r="L57" i="17" l="1"/>
  <c r="F57" i="17"/>
  <c r="J57" i="17"/>
  <c r="F57" i="14"/>
  <c r="H57" i="14"/>
  <c r="AA56" i="14"/>
  <c r="P57" i="17" s="1"/>
  <c r="Y56" i="14"/>
  <c r="N57" i="17" s="1"/>
  <c r="A57" i="17"/>
  <c r="Z56" i="14"/>
  <c r="O57" i="17" s="1"/>
  <c r="L57" i="14"/>
  <c r="Q57" i="14" s="1"/>
  <c r="AC57" i="14"/>
  <c r="R58" i="17" s="1"/>
  <c r="AB57" i="14"/>
  <c r="Q58" i="17" s="1"/>
  <c r="B60" i="17"/>
  <c r="G59" i="14"/>
  <c r="F54" i="15" s="1"/>
  <c r="J56" i="17"/>
  <c r="H56" i="17"/>
  <c r="E58" i="14"/>
  <c r="J58" i="14"/>
  <c r="K58" i="14" s="1"/>
  <c r="AD58" i="14" s="1"/>
  <c r="S59" i="17" s="1"/>
  <c r="B59" i="14"/>
  <c r="A59" i="14"/>
  <c r="C59" i="14"/>
  <c r="I59" i="14"/>
  <c r="D59" i="14"/>
  <c r="C51" i="15"/>
  <c r="E53" i="15"/>
  <c r="D53" i="15"/>
  <c r="B53" i="15"/>
  <c r="N59" i="14"/>
  <c r="C60" i="17" s="1"/>
  <c r="O59" i="14"/>
  <c r="D60" i="17" s="1"/>
  <c r="P59" i="14"/>
  <c r="E60" i="17" s="1"/>
  <c r="M60" i="14"/>
  <c r="A54" i="15"/>
  <c r="L58" i="17" l="1"/>
  <c r="F58" i="17"/>
  <c r="J58" i="17"/>
  <c r="AA57" i="14"/>
  <c r="P58" i="17" s="1"/>
  <c r="Y57" i="14"/>
  <c r="N58" i="17" s="1"/>
  <c r="F58" i="14"/>
  <c r="H58" i="14"/>
  <c r="H57" i="17"/>
  <c r="A58" i="17"/>
  <c r="Z57" i="14"/>
  <c r="O58" i="17" s="1"/>
  <c r="L58" i="14"/>
  <c r="Q58" i="14" s="1"/>
  <c r="AC58" i="14"/>
  <c r="R59" i="17" s="1"/>
  <c r="AB58" i="14"/>
  <c r="Q59" i="17" s="1"/>
  <c r="B61" i="17"/>
  <c r="G60" i="14"/>
  <c r="F55" i="15" s="1"/>
  <c r="E59" i="14"/>
  <c r="J59" i="14"/>
  <c r="K59" i="14" s="1"/>
  <c r="AD59" i="14" s="1"/>
  <c r="S60" i="17" s="1"/>
  <c r="C60" i="14"/>
  <c r="D60" i="14"/>
  <c r="I60" i="14"/>
  <c r="B60" i="14"/>
  <c r="A60" i="14"/>
  <c r="E54" i="15"/>
  <c r="C52" i="15"/>
  <c r="D54" i="15"/>
  <c r="N60" i="14"/>
  <c r="C61" i="17" s="1"/>
  <c r="M61" i="14"/>
  <c r="A55" i="15"/>
  <c r="O60" i="14"/>
  <c r="D61" i="17" s="1"/>
  <c r="P60" i="14"/>
  <c r="E61" i="17" s="1"/>
  <c r="B54" i="15"/>
  <c r="W58" i="14" l="1"/>
  <c r="L59" i="17" s="1"/>
  <c r="F59" i="17"/>
  <c r="S58" i="14"/>
  <c r="U58" i="14" s="1"/>
  <c r="J59" i="17" s="1"/>
  <c r="F59" i="14"/>
  <c r="H59" i="14"/>
  <c r="AA58" i="14"/>
  <c r="P59" i="17" s="1"/>
  <c r="Y58" i="14"/>
  <c r="N59" i="17" s="1"/>
  <c r="H58" i="17"/>
  <c r="A59" i="17"/>
  <c r="Z58" i="14"/>
  <c r="O59" i="17" s="1"/>
  <c r="B62" i="17"/>
  <c r="G61" i="14"/>
  <c r="F56" i="15" s="1"/>
  <c r="AB59" i="14"/>
  <c r="Q60" i="17" s="1"/>
  <c r="AC59" i="14"/>
  <c r="R60" i="17" s="1"/>
  <c r="L59" i="14"/>
  <c r="Q59" i="14" s="1"/>
  <c r="J60" i="14"/>
  <c r="K60" i="14" s="1"/>
  <c r="AD60" i="14" s="1"/>
  <c r="S61" i="17" s="1"/>
  <c r="E60" i="14"/>
  <c r="C61" i="14"/>
  <c r="I61" i="14"/>
  <c r="A61" i="14"/>
  <c r="D61" i="14"/>
  <c r="B61" i="14"/>
  <c r="D55" i="15"/>
  <c r="C53" i="15"/>
  <c r="E55" i="15"/>
  <c r="B55" i="15"/>
  <c r="O61" i="14"/>
  <c r="D62" i="17" s="1"/>
  <c r="P61" i="14"/>
  <c r="E62" i="17" s="1"/>
  <c r="N61" i="14"/>
  <c r="C62" i="17" s="1"/>
  <c r="M62" i="14"/>
  <c r="A56" i="15"/>
  <c r="L60" i="17" l="1"/>
  <c r="F60" i="17"/>
  <c r="Y59" i="14"/>
  <c r="N60" i="17" s="1"/>
  <c r="AA59" i="14"/>
  <c r="P60" i="17" s="1"/>
  <c r="H59" i="17"/>
  <c r="F60" i="14"/>
  <c r="H60" i="14"/>
  <c r="A60" i="17"/>
  <c r="Z59" i="14"/>
  <c r="O60" i="17" s="1"/>
  <c r="B63" i="17"/>
  <c r="G62" i="14"/>
  <c r="F57" i="15" s="1"/>
  <c r="AC60" i="14"/>
  <c r="R61" i="17" s="1"/>
  <c r="AB60" i="14"/>
  <c r="Q61" i="17" s="1"/>
  <c r="L60" i="14"/>
  <c r="Q60" i="14" s="1"/>
  <c r="I62" i="14"/>
  <c r="C62" i="14"/>
  <c r="D62" i="14"/>
  <c r="A62" i="14"/>
  <c r="B62" i="14"/>
  <c r="J61" i="14"/>
  <c r="K61" i="14" s="1"/>
  <c r="AD61" i="14" s="1"/>
  <c r="S62" i="17" s="1"/>
  <c r="E61" i="14"/>
  <c r="D56" i="15"/>
  <c r="E56" i="15"/>
  <c r="C54" i="15"/>
  <c r="O62" i="14"/>
  <c r="D63" i="17" s="1"/>
  <c r="P62" i="14"/>
  <c r="E63" i="17" s="1"/>
  <c r="M63" i="14"/>
  <c r="N62" i="14"/>
  <c r="C63" i="17" s="1"/>
  <c r="A57" i="15"/>
  <c r="B56" i="15"/>
  <c r="F61" i="17" l="1"/>
  <c r="F61" i="14"/>
  <c r="H61" i="14"/>
  <c r="AA60" i="14"/>
  <c r="P61" i="17" s="1"/>
  <c r="Y60" i="14"/>
  <c r="N61" i="17" s="1"/>
  <c r="A61" i="17"/>
  <c r="Z60" i="14"/>
  <c r="O61" i="17" s="1"/>
  <c r="AC61" i="14"/>
  <c r="R62" i="17" s="1"/>
  <c r="AB61" i="14"/>
  <c r="Q62" i="17" s="1"/>
  <c r="B64" i="17"/>
  <c r="G63" i="14"/>
  <c r="F58" i="15" s="1"/>
  <c r="C55" i="15"/>
  <c r="J60" i="17"/>
  <c r="H60" i="17"/>
  <c r="E62" i="14"/>
  <c r="L61" i="14"/>
  <c r="Q61" i="14" s="1"/>
  <c r="J62" i="14"/>
  <c r="K62" i="14" s="1"/>
  <c r="AD62" i="14" s="1"/>
  <c r="S63" i="17" s="1"/>
  <c r="B63" i="14"/>
  <c r="D63" i="14"/>
  <c r="I63" i="14"/>
  <c r="A63" i="14"/>
  <c r="C63" i="14"/>
  <c r="L61" i="17"/>
  <c r="E57" i="15"/>
  <c r="D57" i="15"/>
  <c r="B57" i="15"/>
  <c r="A58" i="15"/>
  <c r="P63" i="14"/>
  <c r="E64" i="17" s="1"/>
  <c r="M64" i="14"/>
  <c r="O63" i="14"/>
  <c r="D64" i="17" s="1"/>
  <c r="N63" i="14"/>
  <c r="C64" i="17" s="1"/>
  <c r="L62" i="17" l="1"/>
  <c r="F62" i="17"/>
  <c r="F62" i="14"/>
  <c r="H62" i="14"/>
  <c r="AA61" i="14"/>
  <c r="P62" i="17" s="1"/>
  <c r="Y61" i="14"/>
  <c r="N62" i="17" s="1"/>
  <c r="A62" i="17"/>
  <c r="Z61" i="14"/>
  <c r="O62" i="17" s="1"/>
  <c r="L62" i="14"/>
  <c r="Q62" i="14" s="1"/>
  <c r="AC62" i="14"/>
  <c r="R63" i="17" s="1"/>
  <c r="AB62" i="14"/>
  <c r="Q63" i="17" s="1"/>
  <c r="B65" i="17"/>
  <c r="G64" i="14"/>
  <c r="F59" i="15" s="1"/>
  <c r="E63" i="14"/>
  <c r="J61" i="17"/>
  <c r="H61" i="17"/>
  <c r="C64" i="14"/>
  <c r="D64" i="14"/>
  <c r="I64" i="14"/>
  <c r="B64" i="14"/>
  <c r="A64" i="14"/>
  <c r="J63" i="14"/>
  <c r="K63" i="14" s="1"/>
  <c r="AD63" i="14" s="1"/>
  <c r="S64" i="17" s="1"/>
  <c r="D58" i="15"/>
  <c r="C56" i="15"/>
  <c r="E58" i="15"/>
  <c r="B58" i="15"/>
  <c r="M65" i="14"/>
  <c r="A59" i="15"/>
  <c r="P64" i="14"/>
  <c r="E65" i="17" s="1"/>
  <c r="O64" i="14"/>
  <c r="D65" i="17" s="1"/>
  <c r="N64" i="14"/>
  <c r="C65" i="17" s="1"/>
  <c r="H62" i="17" l="1"/>
  <c r="L63" i="17"/>
  <c r="F63" i="17"/>
  <c r="J63" i="17"/>
  <c r="AA62" i="14"/>
  <c r="P63" i="17" s="1"/>
  <c r="Y62" i="14"/>
  <c r="N63" i="17" s="1"/>
  <c r="F63" i="14"/>
  <c r="H63" i="14"/>
  <c r="A63" i="17"/>
  <c r="Z62" i="14"/>
  <c r="O63" i="17" s="1"/>
  <c r="B66" i="17"/>
  <c r="G65" i="14"/>
  <c r="F60" i="15" s="1"/>
  <c r="AB63" i="14"/>
  <c r="Q64" i="17" s="1"/>
  <c r="AC63" i="14"/>
  <c r="R64" i="17" s="1"/>
  <c r="J62" i="17"/>
  <c r="J64" i="14"/>
  <c r="K64" i="14" s="1"/>
  <c r="AD64" i="14" s="1"/>
  <c r="S65" i="17" s="1"/>
  <c r="C65" i="14"/>
  <c r="B65" i="14"/>
  <c r="I65" i="14"/>
  <c r="A65" i="14"/>
  <c r="D65" i="14"/>
  <c r="E64" i="14"/>
  <c r="L63" i="14"/>
  <c r="Q63" i="14" s="1"/>
  <c r="D59" i="15"/>
  <c r="E59" i="15"/>
  <c r="C57" i="15"/>
  <c r="B59" i="15"/>
  <c r="O65" i="14"/>
  <c r="D66" i="17" s="1"/>
  <c r="A60" i="15"/>
  <c r="N65" i="14"/>
  <c r="C66" i="17" s="1"/>
  <c r="P65" i="14"/>
  <c r="E66" i="17" s="1"/>
  <c r="M66" i="14"/>
  <c r="H63" i="17" l="1"/>
  <c r="L64" i="17"/>
  <c r="F64" i="17"/>
  <c r="AA63" i="14"/>
  <c r="Y63" i="14"/>
  <c r="N64" i="17" s="1"/>
  <c r="F64" i="14"/>
  <c r="H64" i="14"/>
  <c r="A64" i="17"/>
  <c r="Z63" i="14"/>
  <c r="O64" i="17" s="1"/>
  <c r="B67" i="17"/>
  <c r="G66" i="14"/>
  <c r="F61" i="15" s="1"/>
  <c r="L64" i="14"/>
  <c r="Q64" i="14" s="1"/>
  <c r="AC64" i="14"/>
  <c r="R65" i="17" s="1"/>
  <c r="AB64" i="14"/>
  <c r="Q65" i="17" s="1"/>
  <c r="J65" i="14"/>
  <c r="K65" i="14" s="1"/>
  <c r="AD65" i="14" s="1"/>
  <c r="S66" i="17" s="1"/>
  <c r="P64" i="17"/>
  <c r="E65" i="14"/>
  <c r="D66" i="14"/>
  <c r="B66" i="14"/>
  <c r="I66" i="14"/>
  <c r="C66" i="14"/>
  <c r="A66" i="14"/>
  <c r="E60" i="15"/>
  <c r="D60" i="15"/>
  <c r="C58" i="15"/>
  <c r="B60" i="15"/>
  <c r="M67" i="14"/>
  <c r="O66" i="14"/>
  <c r="D67" i="17" s="1"/>
  <c r="P66" i="14"/>
  <c r="E67" i="17" s="1"/>
  <c r="A61" i="15"/>
  <c r="N66" i="14"/>
  <c r="C67" i="17" s="1"/>
  <c r="L65" i="17" l="1"/>
  <c r="F65" i="17"/>
  <c r="J65" i="17"/>
  <c r="AA64" i="14"/>
  <c r="P65" i="17" s="1"/>
  <c r="Y64" i="14"/>
  <c r="N65" i="17" s="1"/>
  <c r="F65" i="14"/>
  <c r="H65" i="14"/>
  <c r="A65" i="17"/>
  <c r="Z64" i="14"/>
  <c r="O65" i="17" s="1"/>
  <c r="L65" i="14"/>
  <c r="AC65" i="14"/>
  <c r="R66" i="17" s="1"/>
  <c r="AB65" i="14"/>
  <c r="Q66" i="17" s="1"/>
  <c r="B68" i="17"/>
  <c r="G67" i="14"/>
  <c r="F62" i="15" s="1"/>
  <c r="E66" i="14"/>
  <c r="J64" i="17"/>
  <c r="H64" i="17"/>
  <c r="J66" i="14"/>
  <c r="K66" i="14" s="1"/>
  <c r="AD66" i="14" s="1"/>
  <c r="S67" i="17" s="1"/>
  <c r="D67" i="14"/>
  <c r="C67" i="14"/>
  <c r="B67" i="14"/>
  <c r="A67" i="14"/>
  <c r="I67" i="14"/>
  <c r="D61" i="15"/>
  <c r="E61" i="15"/>
  <c r="C59" i="15"/>
  <c r="B61" i="15"/>
  <c r="O67" i="14"/>
  <c r="D68" i="17" s="1"/>
  <c r="P67" i="14"/>
  <c r="E68" i="17" s="1"/>
  <c r="N67" i="14"/>
  <c r="C68" i="17" s="1"/>
  <c r="M68" i="14"/>
  <c r="A62" i="15"/>
  <c r="H65" i="17" l="1"/>
  <c r="W65" i="14"/>
  <c r="L66" i="17" s="1"/>
  <c r="Q65" i="14"/>
  <c r="F66" i="17" s="1"/>
  <c r="S65" i="14"/>
  <c r="U65" i="14" s="1"/>
  <c r="J66" i="17" s="1"/>
  <c r="AA65" i="14"/>
  <c r="P66" i="17" s="1"/>
  <c r="Y65" i="14"/>
  <c r="N66" i="17" s="1"/>
  <c r="F66" i="14"/>
  <c r="H66" i="14"/>
  <c r="A66" i="17"/>
  <c r="Z65" i="14"/>
  <c r="O66" i="17" s="1"/>
  <c r="B69" i="17"/>
  <c r="G68" i="14"/>
  <c r="F63" i="15" s="1"/>
  <c r="L66" i="14"/>
  <c r="C61" i="15" s="1"/>
  <c r="AC66" i="14"/>
  <c r="R67" i="17" s="1"/>
  <c r="AB66" i="14"/>
  <c r="Q67" i="17" s="1"/>
  <c r="E67" i="14"/>
  <c r="J67" i="14"/>
  <c r="K67" i="14" s="1"/>
  <c r="AD67" i="14" s="1"/>
  <c r="S68" i="17" s="1"/>
  <c r="C68" i="14"/>
  <c r="I68" i="14"/>
  <c r="A68" i="14"/>
  <c r="D68" i="14"/>
  <c r="B68" i="14"/>
  <c r="D62" i="15"/>
  <c r="C60" i="15"/>
  <c r="E62" i="15"/>
  <c r="B62" i="15"/>
  <c r="P68" i="14"/>
  <c r="E69" i="17" s="1"/>
  <c r="M69" i="14"/>
  <c r="O68" i="14"/>
  <c r="D69" i="17" s="1"/>
  <c r="A63" i="15"/>
  <c r="N68" i="14"/>
  <c r="C69" i="17" s="1"/>
  <c r="Z58" i="17" l="1"/>
  <c r="H66" i="17"/>
  <c r="W66" i="14"/>
  <c r="L67" i="17" s="1"/>
  <c r="S66" i="14"/>
  <c r="H67" i="17" s="1"/>
  <c r="AA66" i="14"/>
  <c r="P67" i="17" s="1"/>
  <c r="Y66" i="14"/>
  <c r="N67" i="17" s="1"/>
  <c r="F67" i="14"/>
  <c r="H67" i="14"/>
  <c r="Q66" i="14"/>
  <c r="F67" i="17" s="1"/>
  <c r="A67" i="17"/>
  <c r="Z66" i="14"/>
  <c r="O67" i="17" s="1"/>
  <c r="AB67" i="14"/>
  <c r="Q68" i="17" s="1"/>
  <c r="AC67" i="14"/>
  <c r="R68" i="17" s="1"/>
  <c r="B70" i="17"/>
  <c r="G69" i="14"/>
  <c r="F64" i="15" s="1"/>
  <c r="L67" i="14"/>
  <c r="C69" i="14"/>
  <c r="D69" i="14"/>
  <c r="I69" i="14"/>
  <c r="B69" i="14"/>
  <c r="A69" i="14"/>
  <c r="E68" i="14"/>
  <c r="J68" i="14"/>
  <c r="K68" i="14" s="1"/>
  <c r="AD68" i="14" s="1"/>
  <c r="S69" i="17" s="1"/>
  <c r="D63" i="15"/>
  <c r="E63" i="15"/>
  <c r="B63" i="15"/>
  <c r="N69" i="14"/>
  <c r="C70" i="17" s="1"/>
  <c r="O69" i="14"/>
  <c r="D70" i="17" s="1"/>
  <c r="A64" i="15"/>
  <c r="P69" i="14"/>
  <c r="E70" i="17" s="1"/>
  <c r="M70" i="14"/>
  <c r="AA58" i="17" l="1"/>
  <c r="U66" i="14"/>
  <c r="J67" i="17" s="1"/>
  <c r="Q67" i="14"/>
  <c r="W67" i="14"/>
  <c r="L68" i="17" s="1"/>
  <c r="S67" i="14"/>
  <c r="U67" i="14" s="1"/>
  <c r="AA67" i="14"/>
  <c r="P68" i="17" s="1"/>
  <c r="Y67" i="14"/>
  <c r="N68" i="17" s="1"/>
  <c r="F68" i="14"/>
  <c r="H68" i="14"/>
  <c r="A68" i="17"/>
  <c r="Z67" i="14"/>
  <c r="O68" i="17" s="1"/>
  <c r="AC68" i="14"/>
  <c r="R69" i="17" s="1"/>
  <c r="AB68" i="14"/>
  <c r="Q69" i="17" s="1"/>
  <c r="B71" i="17"/>
  <c r="G70" i="14"/>
  <c r="F65" i="15" s="1"/>
  <c r="L68" i="14"/>
  <c r="E69" i="14"/>
  <c r="J69" i="14"/>
  <c r="K69" i="14" s="1"/>
  <c r="AD69" i="14" s="1"/>
  <c r="S70" i="17" s="1"/>
  <c r="F68" i="17"/>
  <c r="C70" i="14"/>
  <c r="B70" i="14"/>
  <c r="I70" i="14"/>
  <c r="A70" i="14"/>
  <c r="D70" i="14"/>
  <c r="E64" i="15"/>
  <c r="D64" i="15"/>
  <c r="C62" i="15"/>
  <c r="B64" i="15"/>
  <c r="P70" i="14"/>
  <c r="E71" i="17" s="1"/>
  <c r="N70" i="14"/>
  <c r="C71" i="17" s="1"/>
  <c r="M73" i="14"/>
  <c r="O70" i="14"/>
  <c r="D71" i="17" s="1"/>
  <c r="A65" i="15"/>
  <c r="H68" i="17" l="1"/>
  <c r="Y68" i="14"/>
  <c r="Q68" i="14"/>
  <c r="F69" i="17" s="1"/>
  <c r="W68" i="14"/>
  <c r="L69" i="17" s="1"/>
  <c r="S68" i="14"/>
  <c r="U68" i="14" s="1"/>
  <c r="AA68" i="14"/>
  <c r="P69" i="17" s="1"/>
  <c r="F69" i="14"/>
  <c r="H69" i="14"/>
  <c r="Z68" i="14"/>
  <c r="O69" i="17" s="1"/>
  <c r="AC69" i="14"/>
  <c r="R70" i="17" s="1"/>
  <c r="AB69" i="14"/>
  <c r="Q70" i="17" s="1"/>
  <c r="B74" i="17"/>
  <c r="G73" i="14"/>
  <c r="M4" i="15" s="1"/>
  <c r="N69" i="17"/>
  <c r="A69" i="17"/>
  <c r="E70" i="14"/>
  <c r="J70" i="14"/>
  <c r="K70" i="14" s="1"/>
  <c r="AD70" i="14" s="1"/>
  <c r="S71" i="17" s="1"/>
  <c r="J68" i="17"/>
  <c r="C73" i="14"/>
  <c r="A73" i="14"/>
  <c r="B73" i="14"/>
  <c r="I73" i="14"/>
  <c r="D73" i="14"/>
  <c r="L69" i="14"/>
  <c r="C63" i="15"/>
  <c r="E65" i="15"/>
  <c r="D65" i="15"/>
  <c r="M74" i="14"/>
  <c r="H4" i="15"/>
  <c r="O73" i="14"/>
  <c r="D74" i="17" s="1"/>
  <c r="P73" i="14"/>
  <c r="E74" i="17" s="1"/>
  <c r="N73" i="14"/>
  <c r="C74" i="17" s="1"/>
  <c r="B65" i="15"/>
  <c r="H69" i="17" l="1"/>
  <c r="Q69" i="14"/>
  <c r="F70" i="17" s="1"/>
  <c r="W69" i="14"/>
  <c r="L70" i="17" s="1"/>
  <c r="S69" i="14"/>
  <c r="U69" i="14" s="1"/>
  <c r="AA69" i="14"/>
  <c r="P70" i="17" s="1"/>
  <c r="Y69" i="14"/>
  <c r="N70" i="17" s="1"/>
  <c r="F70" i="14"/>
  <c r="H70" i="14"/>
  <c r="A70" i="17"/>
  <c r="Z69" i="14"/>
  <c r="O70" i="17" s="1"/>
  <c r="B75" i="17"/>
  <c r="G74" i="14"/>
  <c r="M5" i="15" s="1"/>
  <c r="AC70" i="14"/>
  <c r="R71" i="17" s="1"/>
  <c r="AB70" i="14"/>
  <c r="Q71" i="17" s="1"/>
  <c r="J69" i="17"/>
  <c r="E73" i="14"/>
  <c r="L70" i="14"/>
  <c r="C74" i="14"/>
  <c r="B74" i="14"/>
  <c r="A74" i="14"/>
  <c r="D74" i="14"/>
  <c r="I74" i="14"/>
  <c r="J73" i="14"/>
  <c r="K73" i="14" s="1"/>
  <c r="AD73" i="14" s="1"/>
  <c r="S74" i="17" s="1"/>
  <c r="K4" i="15"/>
  <c r="L4" i="15"/>
  <c r="C64" i="15"/>
  <c r="I4" i="15"/>
  <c r="P74" i="14"/>
  <c r="E75" i="17" s="1"/>
  <c r="M75" i="14"/>
  <c r="O74" i="14"/>
  <c r="D75" i="17" s="1"/>
  <c r="N74" i="14"/>
  <c r="C75" i="17" s="1"/>
  <c r="H5" i="15"/>
  <c r="Y70" i="14" l="1"/>
  <c r="N71" i="17" s="1"/>
  <c r="Q70" i="14"/>
  <c r="F71" i="17" s="1"/>
  <c r="F72" i="17" s="1"/>
  <c r="AA406" i="17" s="1"/>
  <c r="W70" i="14"/>
  <c r="L71" i="17" s="1"/>
  <c r="S70" i="14"/>
  <c r="U70" i="14" s="1"/>
  <c r="AA70" i="14"/>
  <c r="P71" i="17" s="1"/>
  <c r="F73" i="14"/>
  <c r="H73" i="14"/>
  <c r="A71" i="17"/>
  <c r="Z70" i="14"/>
  <c r="O71" i="17" s="1"/>
  <c r="B76" i="17"/>
  <c r="G75" i="14"/>
  <c r="M6" i="15" s="1"/>
  <c r="AB73" i="14"/>
  <c r="Q74" i="17" s="1"/>
  <c r="AC73" i="14"/>
  <c r="R74" i="17" s="1"/>
  <c r="J70" i="17"/>
  <c r="H70" i="17"/>
  <c r="E74" i="14"/>
  <c r="L73" i="14"/>
  <c r="J74" i="14"/>
  <c r="K74" i="14" s="1"/>
  <c r="AD74" i="14" s="1"/>
  <c r="S75" i="17" s="1"/>
  <c r="C75" i="14"/>
  <c r="A75" i="14"/>
  <c r="I75" i="14"/>
  <c r="D75" i="14"/>
  <c r="B75" i="14"/>
  <c r="L5" i="15"/>
  <c r="C65" i="15"/>
  <c r="K5" i="15"/>
  <c r="I5" i="15"/>
  <c r="M76" i="14"/>
  <c r="P75" i="14"/>
  <c r="E76" i="17" s="1"/>
  <c r="N75" i="14"/>
  <c r="C76" i="17" s="1"/>
  <c r="H6" i="15"/>
  <c r="O75" i="14"/>
  <c r="D76" i="17" s="1"/>
  <c r="Y73" i="14" l="1"/>
  <c r="Q73" i="14"/>
  <c r="W73" i="14"/>
  <c r="L74" i="17" s="1"/>
  <c r="S73" i="14"/>
  <c r="U73" i="14" s="1"/>
  <c r="AA73" i="14"/>
  <c r="F74" i="14"/>
  <c r="H74" i="14"/>
  <c r="A74" i="17"/>
  <c r="Z73" i="14"/>
  <c r="O74" i="17" s="1"/>
  <c r="B77" i="17"/>
  <c r="G76" i="14"/>
  <c r="M7" i="15" s="1"/>
  <c r="L74" i="14"/>
  <c r="J5" i="15" s="1"/>
  <c r="AC74" i="14"/>
  <c r="R75" i="17" s="1"/>
  <c r="AB74" i="14"/>
  <c r="Q75" i="17" s="1"/>
  <c r="J71" i="17"/>
  <c r="H71" i="17"/>
  <c r="J75" i="14"/>
  <c r="K75" i="14" s="1"/>
  <c r="AD75" i="14" s="1"/>
  <c r="S76" i="17" s="1"/>
  <c r="D76" i="14"/>
  <c r="A76" i="14"/>
  <c r="C76" i="14"/>
  <c r="B76" i="14"/>
  <c r="I76" i="14"/>
  <c r="E75" i="14"/>
  <c r="P74" i="17"/>
  <c r="N74" i="17"/>
  <c r="F74" i="17"/>
  <c r="L6" i="15"/>
  <c r="J4" i="15"/>
  <c r="K6" i="15"/>
  <c r="M77" i="14"/>
  <c r="N76" i="14"/>
  <c r="C77" i="17" s="1"/>
  <c r="P76" i="14"/>
  <c r="E77" i="17" s="1"/>
  <c r="H7" i="15"/>
  <c r="O76" i="14"/>
  <c r="D77" i="17" s="1"/>
  <c r="I6" i="15"/>
  <c r="H74" i="17" l="1"/>
  <c r="Y74" i="14"/>
  <c r="N75" i="17" s="1"/>
  <c r="Q74" i="14"/>
  <c r="F75" i="17" s="1"/>
  <c r="W74" i="14"/>
  <c r="L75" i="17" s="1"/>
  <c r="S74" i="14"/>
  <c r="U74" i="14" s="1"/>
  <c r="J75" i="17" s="1"/>
  <c r="AA74" i="14"/>
  <c r="P75" i="17" s="1"/>
  <c r="F75" i="14"/>
  <c r="H75" i="14"/>
  <c r="A75" i="17"/>
  <c r="Z74" i="14"/>
  <c r="O75" i="17" s="1"/>
  <c r="B78" i="17"/>
  <c r="G77" i="14"/>
  <c r="M8" i="15" s="1"/>
  <c r="AC75" i="14"/>
  <c r="R76" i="17" s="1"/>
  <c r="AB75" i="14"/>
  <c r="Q76" i="17" s="1"/>
  <c r="J74" i="17"/>
  <c r="E76" i="14"/>
  <c r="B77" i="14"/>
  <c r="C77" i="14"/>
  <c r="I77" i="14"/>
  <c r="A77" i="14"/>
  <c r="D77" i="14"/>
  <c r="L75" i="14"/>
  <c r="J76" i="14"/>
  <c r="K76" i="14" s="1"/>
  <c r="AD76" i="14" s="1"/>
  <c r="S77" i="17" s="1"/>
  <c r="L7" i="15"/>
  <c r="K7" i="15"/>
  <c r="O77" i="14"/>
  <c r="D78" i="17" s="1"/>
  <c r="H8" i="15"/>
  <c r="M78" i="14"/>
  <c r="P77" i="14"/>
  <c r="E78" i="17" s="1"/>
  <c r="N77" i="14"/>
  <c r="C78" i="17" s="1"/>
  <c r="I7" i="15"/>
  <c r="Q75" i="14" l="1"/>
  <c r="F76" i="17" s="1"/>
  <c r="W75" i="14"/>
  <c r="L76" i="17" s="1"/>
  <c r="S75" i="14"/>
  <c r="U75" i="14" s="1"/>
  <c r="Y75" i="14"/>
  <c r="N76" i="17" s="1"/>
  <c r="AA75" i="14"/>
  <c r="P76" i="17" s="1"/>
  <c r="H75" i="17"/>
  <c r="F76" i="14"/>
  <c r="H76" i="14"/>
  <c r="A76" i="17"/>
  <c r="Z75" i="14"/>
  <c r="O76" i="17" s="1"/>
  <c r="AC76" i="14"/>
  <c r="R77" i="17" s="1"/>
  <c r="AB76" i="14"/>
  <c r="Q77" i="17" s="1"/>
  <c r="B79" i="17"/>
  <c r="G78" i="14"/>
  <c r="M9" i="15" s="1"/>
  <c r="AB406" i="17"/>
  <c r="E77" i="14"/>
  <c r="L76" i="14"/>
  <c r="J77" i="14"/>
  <c r="K77" i="14" s="1"/>
  <c r="AD77" i="14" s="1"/>
  <c r="S78" i="17" s="1"/>
  <c r="C78" i="14"/>
  <c r="I78" i="14"/>
  <c r="D78" i="14"/>
  <c r="B78" i="14"/>
  <c r="A78" i="14"/>
  <c r="K8" i="15"/>
  <c r="L8" i="15"/>
  <c r="J6" i="15"/>
  <c r="O78" i="14"/>
  <c r="D79" i="17" s="1"/>
  <c r="P78" i="14"/>
  <c r="E79" i="17" s="1"/>
  <c r="N78" i="14"/>
  <c r="C79" i="17" s="1"/>
  <c r="M79" i="14"/>
  <c r="H9" i="15"/>
  <c r="I8" i="15"/>
  <c r="Y76" i="14" l="1"/>
  <c r="N77" i="17" s="1"/>
  <c r="Q76" i="14"/>
  <c r="F77" i="17" s="1"/>
  <c r="W76" i="14"/>
  <c r="L77" i="17" s="1"/>
  <c r="S76" i="14"/>
  <c r="U76" i="14" s="1"/>
  <c r="AA76" i="14"/>
  <c r="P77" i="17" s="1"/>
  <c r="F77" i="14"/>
  <c r="H77" i="14"/>
  <c r="A77" i="17"/>
  <c r="Z76" i="14"/>
  <c r="O77" i="17" s="1"/>
  <c r="AB77" i="14"/>
  <c r="Q78" i="17" s="1"/>
  <c r="AC77" i="14"/>
  <c r="R78" i="17" s="1"/>
  <c r="B80" i="17"/>
  <c r="G79" i="14"/>
  <c r="M10" i="15" s="1"/>
  <c r="J76" i="17"/>
  <c r="H76" i="17"/>
  <c r="E78" i="14"/>
  <c r="L77" i="14"/>
  <c r="J78" i="14"/>
  <c r="K78" i="14" s="1"/>
  <c r="AD78" i="14" s="1"/>
  <c r="S79" i="17" s="1"/>
  <c r="C79" i="14"/>
  <c r="B79" i="14"/>
  <c r="D79" i="14"/>
  <c r="I79" i="14"/>
  <c r="A79" i="14"/>
  <c r="K9" i="15"/>
  <c r="J7" i="15"/>
  <c r="L9" i="15"/>
  <c r="I9" i="15"/>
  <c r="M80" i="14"/>
  <c r="O79" i="14"/>
  <c r="D80" i="17" s="1"/>
  <c r="N79" i="14"/>
  <c r="C80" i="17" s="1"/>
  <c r="H10" i="15"/>
  <c r="P79" i="14"/>
  <c r="E80" i="17" s="1"/>
  <c r="Y77" i="14" l="1"/>
  <c r="N78" i="17" s="1"/>
  <c r="Q77" i="14"/>
  <c r="F78" i="17" s="1"/>
  <c r="W77" i="14"/>
  <c r="L78" i="17" s="1"/>
  <c r="S77" i="14"/>
  <c r="U77" i="14" s="1"/>
  <c r="AA77" i="14"/>
  <c r="P78" i="17" s="1"/>
  <c r="F78" i="14"/>
  <c r="H78" i="14"/>
  <c r="A78" i="17"/>
  <c r="Z77" i="14"/>
  <c r="O78" i="17" s="1"/>
  <c r="B81" i="17"/>
  <c r="G80" i="14"/>
  <c r="M11" i="15" s="1"/>
  <c r="L78" i="14"/>
  <c r="AC78" i="14"/>
  <c r="R79" i="17" s="1"/>
  <c r="AB78" i="14"/>
  <c r="Q79" i="17" s="1"/>
  <c r="J77" i="17"/>
  <c r="H77" i="17"/>
  <c r="C80" i="14"/>
  <c r="I80" i="14"/>
  <c r="D80" i="14"/>
  <c r="A80" i="14"/>
  <c r="B80" i="14"/>
  <c r="J79" i="14"/>
  <c r="K79" i="14" s="1"/>
  <c r="AD79" i="14" s="1"/>
  <c r="S80" i="17" s="1"/>
  <c r="E79" i="14"/>
  <c r="K10" i="15"/>
  <c r="J8" i="15"/>
  <c r="L10" i="15"/>
  <c r="I10" i="15"/>
  <c r="M81" i="14"/>
  <c r="H11" i="15"/>
  <c r="N80" i="14"/>
  <c r="C81" i="17" s="1"/>
  <c r="O80" i="14"/>
  <c r="D81" i="17" s="1"/>
  <c r="P80" i="14"/>
  <c r="E81" i="17" s="1"/>
  <c r="H78" i="17" l="1"/>
  <c r="Y78" i="14"/>
  <c r="N79" i="17" s="1"/>
  <c r="Q78" i="14"/>
  <c r="F79" i="17" s="1"/>
  <c r="W78" i="14"/>
  <c r="L79" i="17" s="1"/>
  <c r="S78" i="14"/>
  <c r="U78" i="14" s="1"/>
  <c r="J79" i="17" s="1"/>
  <c r="AA78" i="14"/>
  <c r="P79" i="17" s="1"/>
  <c r="F79" i="14"/>
  <c r="H79" i="14"/>
  <c r="A79" i="17"/>
  <c r="Z78" i="14"/>
  <c r="O79" i="17" s="1"/>
  <c r="B82" i="17"/>
  <c r="G81" i="14"/>
  <c r="M12" i="15" s="1"/>
  <c r="AC79" i="14"/>
  <c r="R80" i="17" s="1"/>
  <c r="AB79" i="14"/>
  <c r="Q80" i="17" s="1"/>
  <c r="J78" i="17"/>
  <c r="B81" i="14"/>
  <c r="C81" i="14"/>
  <c r="I81" i="14"/>
  <c r="A81" i="14"/>
  <c r="D81" i="14"/>
  <c r="E80" i="14"/>
  <c r="J80" i="14"/>
  <c r="K80" i="14" s="1"/>
  <c r="AD80" i="14" s="1"/>
  <c r="S81" i="17" s="1"/>
  <c r="L79" i="14"/>
  <c r="J9" i="15"/>
  <c r="L11" i="15"/>
  <c r="K11" i="15"/>
  <c r="N81" i="14"/>
  <c r="C82" i="17" s="1"/>
  <c r="H12" i="15"/>
  <c r="P81" i="14"/>
  <c r="E82" i="17" s="1"/>
  <c r="M82" i="14"/>
  <c r="O81" i="14"/>
  <c r="D82" i="17" s="1"/>
  <c r="I11" i="15"/>
  <c r="H79" i="17" l="1"/>
  <c r="Q79" i="14"/>
  <c r="L80" i="17"/>
  <c r="AA79" i="14"/>
  <c r="P80" i="17" s="1"/>
  <c r="Y79" i="14"/>
  <c r="N80" i="17" s="1"/>
  <c r="F80" i="14"/>
  <c r="H80" i="14"/>
  <c r="A80" i="17"/>
  <c r="Z79" i="14"/>
  <c r="O80" i="17" s="1"/>
  <c r="B83" i="17"/>
  <c r="G82" i="14"/>
  <c r="M13" i="15" s="1"/>
  <c r="AC80" i="14"/>
  <c r="R81" i="17" s="1"/>
  <c r="AB80" i="14"/>
  <c r="Q81" i="17" s="1"/>
  <c r="E81" i="14"/>
  <c r="L80" i="14"/>
  <c r="C82" i="14"/>
  <c r="A82" i="14"/>
  <c r="I82" i="14"/>
  <c r="B82" i="14"/>
  <c r="D82" i="14"/>
  <c r="F80" i="17"/>
  <c r="J81" i="14"/>
  <c r="K81" i="14" s="1"/>
  <c r="AD81" i="14" s="1"/>
  <c r="S82" i="17" s="1"/>
  <c r="K12" i="15"/>
  <c r="J10" i="15"/>
  <c r="L12" i="15"/>
  <c r="I12" i="15"/>
  <c r="O82" i="14"/>
  <c r="D83" i="17" s="1"/>
  <c r="M83" i="14"/>
  <c r="N82" i="14"/>
  <c r="C83" i="17" s="1"/>
  <c r="P82" i="14"/>
  <c r="E83" i="17" s="1"/>
  <c r="H13" i="15"/>
  <c r="Q80" i="14" l="1"/>
  <c r="F81" i="17" s="1"/>
  <c r="L81" i="17"/>
  <c r="AA80" i="14"/>
  <c r="P81" i="17" s="1"/>
  <c r="Y80" i="14"/>
  <c r="N81" i="17" s="1"/>
  <c r="F81" i="14"/>
  <c r="H81" i="14"/>
  <c r="A81" i="17"/>
  <c r="Z80" i="14"/>
  <c r="O81" i="17" s="1"/>
  <c r="B84" i="17"/>
  <c r="G83" i="14"/>
  <c r="M14" i="15" s="1"/>
  <c r="AB81" i="14"/>
  <c r="Q82" i="17" s="1"/>
  <c r="AC81" i="14"/>
  <c r="R82" i="17" s="1"/>
  <c r="E82" i="14"/>
  <c r="J80" i="17"/>
  <c r="H80" i="17"/>
  <c r="L81" i="14"/>
  <c r="C83" i="14"/>
  <c r="I83" i="14"/>
  <c r="D83" i="14"/>
  <c r="B83" i="14"/>
  <c r="A83" i="14"/>
  <c r="J82" i="14"/>
  <c r="K82" i="14" s="1"/>
  <c r="AD82" i="14" s="1"/>
  <c r="S83" i="17" s="1"/>
  <c r="K13" i="15"/>
  <c r="L13" i="15"/>
  <c r="J11" i="15"/>
  <c r="N83" i="14"/>
  <c r="C84" i="17" s="1"/>
  <c r="M84" i="14"/>
  <c r="H14" i="15"/>
  <c r="P83" i="14"/>
  <c r="E84" i="17" s="1"/>
  <c r="O83" i="14"/>
  <c r="D84" i="17" s="1"/>
  <c r="I13" i="15"/>
  <c r="Q81" i="14" l="1"/>
  <c r="F82" i="17" s="1"/>
  <c r="W81" i="14"/>
  <c r="L82" i="17" s="1"/>
  <c r="S81" i="14"/>
  <c r="U81" i="14" s="1"/>
  <c r="AA81" i="14"/>
  <c r="P82" i="17" s="1"/>
  <c r="Y81" i="14"/>
  <c r="N82" i="17" s="1"/>
  <c r="F82" i="14"/>
  <c r="H82" i="14"/>
  <c r="A82" i="17"/>
  <c r="Z81" i="14"/>
  <c r="O82" i="17" s="1"/>
  <c r="B85" i="17"/>
  <c r="G84" i="14"/>
  <c r="M15" i="15" s="1"/>
  <c r="AC82" i="14"/>
  <c r="R83" i="17" s="1"/>
  <c r="AB82" i="14"/>
  <c r="Q83" i="17" s="1"/>
  <c r="J81" i="17"/>
  <c r="H81" i="17"/>
  <c r="L82" i="14"/>
  <c r="E83" i="14"/>
  <c r="J83" i="14"/>
  <c r="K83" i="14" s="1"/>
  <c r="AD83" i="14" s="1"/>
  <c r="S84" i="17" s="1"/>
  <c r="B84" i="14"/>
  <c r="C84" i="14"/>
  <c r="I84" i="14"/>
  <c r="A84" i="14"/>
  <c r="D84" i="14"/>
  <c r="L14" i="15"/>
  <c r="J12" i="15"/>
  <c r="K14" i="15"/>
  <c r="O84" i="14"/>
  <c r="D85" i="17" s="1"/>
  <c r="H15" i="15"/>
  <c r="M85" i="14"/>
  <c r="N84" i="14"/>
  <c r="C85" i="17" s="1"/>
  <c r="P84" i="14"/>
  <c r="E85" i="17" s="1"/>
  <c r="I14" i="15"/>
  <c r="Q82" i="14" l="1"/>
  <c r="F83" i="17" s="1"/>
  <c r="L83" i="17"/>
  <c r="Y82" i="14"/>
  <c r="N83" i="17" s="1"/>
  <c r="AA82" i="14"/>
  <c r="P83" i="17" s="1"/>
  <c r="F83" i="14"/>
  <c r="H83" i="14"/>
  <c r="A83" i="17"/>
  <c r="Z82" i="14"/>
  <c r="O83" i="17" s="1"/>
  <c r="B86" i="17"/>
  <c r="G85" i="14"/>
  <c r="M16" i="15" s="1"/>
  <c r="AC83" i="14"/>
  <c r="R84" i="17" s="1"/>
  <c r="AB83" i="14"/>
  <c r="Q84" i="17" s="1"/>
  <c r="J82" i="17"/>
  <c r="H82" i="17"/>
  <c r="L83" i="14"/>
  <c r="I85" i="14"/>
  <c r="A85" i="14"/>
  <c r="C85" i="14"/>
  <c r="D85" i="14"/>
  <c r="B85" i="14"/>
  <c r="J84" i="14"/>
  <c r="K84" i="14" s="1"/>
  <c r="AD84" i="14" s="1"/>
  <c r="S85" i="17" s="1"/>
  <c r="E84" i="14"/>
  <c r="L15" i="15"/>
  <c r="J13" i="15"/>
  <c r="K15" i="15"/>
  <c r="O85" i="14"/>
  <c r="D86" i="17" s="1"/>
  <c r="P85" i="14"/>
  <c r="E86" i="17" s="1"/>
  <c r="H16" i="15"/>
  <c r="N85" i="14"/>
  <c r="C86" i="17" s="1"/>
  <c r="M86" i="14"/>
  <c r="I15" i="15"/>
  <c r="Q83" i="14" l="1"/>
  <c r="F84" i="17" s="1"/>
  <c r="L84" i="17"/>
  <c r="AA83" i="14"/>
  <c r="P84" i="17" s="1"/>
  <c r="Y83" i="14"/>
  <c r="N84" i="17" s="1"/>
  <c r="F84" i="14"/>
  <c r="H84" i="14"/>
  <c r="A84" i="17"/>
  <c r="Z83" i="14"/>
  <c r="O84" i="17" s="1"/>
  <c r="B87" i="17"/>
  <c r="G86" i="14"/>
  <c r="M17" i="15" s="1"/>
  <c r="L84" i="14"/>
  <c r="AC84" i="14"/>
  <c r="R85" i="17" s="1"/>
  <c r="AB84" i="14"/>
  <c r="Q85" i="17" s="1"/>
  <c r="J83" i="17"/>
  <c r="H83" i="17"/>
  <c r="E85" i="14"/>
  <c r="J85" i="14"/>
  <c r="K85" i="14" s="1"/>
  <c r="AD85" i="14" s="1"/>
  <c r="S86" i="17" s="1"/>
  <c r="C86" i="14"/>
  <c r="D86" i="14"/>
  <c r="B86" i="14"/>
  <c r="A86" i="14"/>
  <c r="I86" i="14"/>
  <c r="K16" i="15"/>
  <c r="J14" i="15"/>
  <c r="L16" i="15"/>
  <c r="I16" i="15"/>
  <c r="N86" i="14"/>
  <c r="C87" i="17" s="1"/>
  <c r="P86" i="14"/>
  <c r="E87" i="17" s="1"/>
  <c r="M87" i="14"/>
  <c r="O86" i="14"/>
  <c r="D87" i="17" s="1"/>
  <c r="H17" i="15"/>
  <c r="Q84" i="14" l="1"/>
  <c r="F85" i="17" s="1"/>
  <c r="L85" i="17"/>
  <c r="H85" i="17"/>
  <c r="AA84" i="14"/>
  <c r="P85" i="17" s="1"/>
  <c r="Y84" i="14"/>
  <c r="N85" i="17" s="1"/>
  <c r="F85" i="14"/>
  <c r="H85" i="14"/>
  <c r="A85" i="17"/>
  <c r="Z84" i="14"/>
  <c r="O85" i="17" s="1"/>
  <c r="B88" i="17"/>
  <c r="G87" i="14"/>
  <c r="M18" i="15" s="1"/>
  <c r="AB85" i="14"/>
  <c r="Q86" i="17" s="1"/>
  <c r="AC85" i="14"/>
  <c r="R86" i="17" s="1"/>
  <c r="J84" i="17"/>
  <c r="H84" i="17"/>
  <c r="E86" i="14"/>
  <c r="J86" i="14"/>
  <c r="K86" i="14" s="1"/>
  <c r="AD86" i="14" s="1"/>
  <c r="S87" i="17" s="1"/>
  <c r="C87" i="14"/>
  <c r="B87" i="14"/>
  <c r="A87" i="14"/>
  <c r="D87" i="14"/>
  <c r="I87" i="14"/>
  <c r="L85" i="14"/>
  <c r="K17" i="15"/>
  <c r="L17" i="15"/>
  <c r="J15" i="15"/>
  <c r="M88" i="14"/>
  <c r="O87" i="14"/>
  <c r="D88" i="17" s="1"/>
  <c r="N87" i="14"/>
  <c r="C88" i="17" s="1"/>
  <c r="H18" i="15"/>
  <c r="P87" i="14"/>
  <c r="E88" i="17" s="1"/>
  <c r="I17" i="15"/>
  <c r="Q85" i="14" l="1"/>
  <c r="F86" i="17" s="1"/>
  <c r="L86" i="17"/>
  <c r="H86" i="17"/>
  <c r="J85" i="17"/>
  <c r="AA85" i="14"/>
  <c r="P86" i="17" s="1"/>
  <c r="Y85" i="14"/>
  <c r="N86" i="17" s="1"/>
  <c r="F86" i="14"/>
  <c r="H86" i="14"/>
  <c r="A86" i="17"/>
  <c r="Z85" i="14"/>
  <c r="O86" i="17" s="1"/>
  <c r="AC86" i="14"/>
  <c r="R87" i="17" s="1"/>
  <c r="AB86" i="14"/>
  <c r="Q87" i="17" s="1"/>
  <c r="B89" i="17"/>
  <c r="G88" i="14"/>
  <c r="M19" i="15" s="1"/>
  <c r="E87" i="14"/>
  <c r="L86" i="14"/>
  <c r="J87" i="14"/>
  <c r="K87" i="14" s="1"/>
  <c r="AD87" i="14" s="1"/>
  <c r="S88" i="17" s="1"/>
  <c r="C88" i="14"/>
  <c r="I88" i="14"/>
  <c r="A88" i="14"/>
  <c r="D88" i="14"/>
  <c r="B88" i="14"/>
  <c r="K18" i="15"/>
  <c r="J16" i="15"/>
  <c r="L18" i="15"/>
  <c r="I18" i="15"/>
  <c r="H19" i="15"/>
  <c r="P88" i="14"/>
  <c r="E89" i="17" s="1"/>
  <c r="O88" i="14"/>
  <c r="D89" i="17" s="1"/>
  <c r="N88" i="14"/>
  <c r="C89" i="17" s="1"/>
  <c r="M89" i="14"/>
  <c r="J86" i="17" l="1"/>
  <c r="Q86" i="14"/>
  <c r="F87" i="17" s="1"/>
  <c r="L87" i="17"/>
  <c r="H87" i="17"/>
  <c r="AA86" i="14"/>
  <c r="P87" i="17" s="1"/>
  <c r="Y86" i="14"/>
  <c r="N87" i="17" s="1"/>
  <c r="F87" i="14"/>
  <c r="H87" i="14"/>
  <c r="A87" i="17"/>
  <c r="Z86" i="14"/>
  <c r="O87" i="17" s="1"/>
  <c r="L87" i="14"/>
  <c r="AC87" i="14"/>
  <c r="R88" i="17" s="1"/>
  <c r="AB87" i="14"/>
  <c r="Q88" i="17" s="1"/>
  <c r="B90" i="17"/>
  <c r="G89" i="14"/>
  <c r="M20" i="15" s="1"/>
  <c r="J88" i="14"/>
  <c r="K88" i="14" s="1"/>
  <c r="AD88" i="14" s="1"/>
  <c r="S89" i="17" s="1"/>
  <c r="B89" i="14"/>
  <c r="I89" i="14"/>
  <c r="A89" i="14"/>
  <c r="C89" i="14"/>
  <c r="D89" i="14"/>
  <c r="E88" i="14"/>
  <c r="K19" i="15"/>
  <c r="L19" i="15"/>
  <c r="J17" i="15"/>
  <c r="I19" i="15"/>
  <c r="H20" i="15"/>
  <c r="P89" i="14"/>
  <c r="E90" i="17" s="1"/>
  <c r="N89" i="14"/>
  <c r="C90" i="17" s="1"/>
  <c r="M90" i="14"/>
  <c r="O89" i="14"/>
  <c r="D90" i="17" s="1"/>
  <c r="Q87" i="14" l="1"/>
  <c r="F88" i="17" s="1"/>
  <c r="L88" i="17"/>
  <c r="H88" i="17"/>
  <c r="J87" i="17"/>
  <c r="AA87" i="14"/>
  <c r="P88" i="17" s="1"/>
  <c r="Y87" i="14"/>
  <c r="N88" i="17" s="1"/>
  <c r="F88" i="14"/>
  <c r="H88" i="14"/>
  <c r="A88" i="17"/>
  <c r="Z87" i="14"/>
  <c r="O88" i="17" s="1"/>
  <c r="B91" i="17"/>
  <c r="G90" i="14"/>
  <c r="M21" i="15" s="1"/>
  <c r="AC88" i="14"/>
  <c r="R89" i="17" s="1"/>
  <c r="AB88" i="14"/>
  <c r="Q89" i="17" s="1"/>
  <c r="E89" i="14"/>
  <c r="L88" i="14"/>
  <c r="C90" i="14"/>
  <c r="A90" i="14"/>
  <c r="I90" i="14"/>
  <c r="B90" i="14"/>
  <c r="D90" i="14"/>
  <c r="J89" i="14"/>
  <c r="K89" i="14" s="1"/>
  <c r="AD89" i="14" s="1"/>
  <c r="S90" i="17" s="1"/>
  <c r="L20" i="15"/>
  <c r="K20" i="15"/>
  <c r="J18" i="15"/>
  <c r="I20" i="15"/>
  <c r="O90" i="14"/>
  <c r="D91" i="17" s="1"/>
  <c r="M91" i="14"/>
  <c r="P90" i="14"/>
  <c r="E91" i="17" s="1"/>
  <c r="H21" i="15"/>
  <c r="N90" i="14"/>
  <c r="C91" i="17" s="1"/>
  <c r="Q88" i="14" l="1"/>
  <c r="F89" i="17" s="1"/>
  <c r="W88" i="14"/>
  <c r="L89" i="17" s="1"/>
  <c r="S88" i="14"/>
  <c r="H89" i="17" s="1"/>
  <c r="J88" i="17"/>
  <c r="F89" i="14"/>
  <c r="H89" i="14"/>
  <c r="AA88" i="14"/>
  <c r="P89" i="17" s="1"/>
  <c r="Y88" i="14"/>
  <c r="N89" i="17" s="1"/>
  <c r="A89" i="17"/>
  <c r="Z88" i="14"/>
  <c r="O89" i="17" s="1"/>
  <c r="B92" i="17"/>
  <c r="G91" i="14"/>
  <c r="M22" i="15" s="1"/>
  <c r="AB89" i="14"/>
  <c r="Q90" i="17" s="1"/>
  <c r="AC89" i="14"/>
  <c r="R90" i="17" s="1"/>
  <c r="J19" i="15"/>
  <c r="L89" i="14"/>
  <c r="J90" i="14"/>
  <c r="K90" i="14" s="1"/>
  <c r="AD90" i="14" s="1"/>
  <c r="S91" i="17" s="1"/>
  <c r="E90" i="14"/>
  <c r="C91" i="14"/>
  <c r="I91" i="14"/>
  <c r="D91" i="14"/>
  <c r="B91" i="14"/>
  <c r="A91" i="14"/>
  <c r="L21" i="15"/>
  <c r="K21" i="15"/>
  <c r="N91" i="14"/>
  <c r="C92" i="17" s="1"/>
  <c r="P91" i="14"/>
  <c r="E92" i="17" s="1"/>
  <c r="O91" i="14"/>
  <c r="D92" i="17" s="1"/>
  <c r="H22" i="15"/>
  <c r="M92" i="14"/>
  <c r="I21" i="15"/>
  <c r="U88" i="14" l="1"/>
  <c r="J89" i="17" s="1"/>
  <c r="Q89" i="14"/>
  <c r="F90" i="17" s="1"/>
  <c r="L90" i="17"/>
  <c r="H90" i="17"/>
  <c r="Y89" i="14"/>
  <c r="N90" i="17" s="1"/>
  <c r="AA89" i="14"/>
  <c r="P90" i="17" s="1"/>
  <c r="F90" i="14"/>
  <c r="H90" i="14"/>
  <c r="A90" i="17"/>
  <c r="Z89" i="14"/>
  <c r="O90" i="17" s="1"/>
  <c r="B93" i="17"/>
  <c r="G92" i="14"/>
  <c r="M23" i="15" s="1"/>
  <c r="AC90" i="14"/>
  <c r="R91" i="17" s="1"/>
  <c r="AB90" i="14"/>
  <c r="Q91" i="17" s="1"/>
  <c r="L90" i="14"/>
  <c r="B92" i="14"/>
  <c r="C92" i="14"/>
  <c r="I92" i="14"/>
  <c r="A92" i="14"/>
  <c r="D92" i="14"/>
  <c r="E91" i="14"/>
  <c r="J91" i="14"/>
  <c r="K91" i="14" s="1"/>
  <c r="AD91" i="14" s="1"/>
  <c r="S92" i="17" s="1"/>
  <c r="L22" i="15"/>
  <c r="J20" i="15"/>
  <c r="K22" i="15"/>
  <c r="H23" i="15"/>
  <c r="O92" i="14"/>
  <c r="D93" i="17" s="1"/>
  <c r="N92" i="14"/>
  <c r="C93" i="17" s="1"/>
  <c r="M93" i="14"/>
  <c r="P92" i="14"/>
  <c r="E93" i="17" s="1"/>
  <c r="I22" i="15"/>
  <c r="J90" i="17" l="1"/>
  <c r="Q90" i="14"/>
  <c r="L91" i="17"/>
  <c r="F91" i="14"/>
  <c r="H91" i="14"/>
  <c r="AA90" i="14"/>
  <c r="P91" i="17" s="1"/>
  <c r="Y90" i="14"/>
  <c r="N91" i="17" s="1"/>
  <c r="A91" i="17"/>
  <c r="Z90" i="14"/>
  <c r="O91" i="17" s="1"/>
  <c r="B94" i="17"/>
  <c r="G93" i="14"/>
  <c r="M24" i="15" s="1"/>
  <c r="AC91" i="14"/>
  <c r="R92" i="17" s="1"/>
  <c r="AB91" i="14"/>
  <c r="Q92" i="17" s="1"/>
  <c r="E92" i="14"/>
  <c r="L91" i="14"/>
  <c r="J92" i="14"/>
  <c r="K92" i="14" s="1"/>
  <c r="AD92" i="14" s="1"/>
  <c r="S93" i="17" s="1"/>
  <c r="F91" i="17"/>
  <c r="I93" i="14"/>
  <c r="A93" i="14"/>
  <c r="C93" i="14"/>
  <c r="D93" i="14"/>
  <c r="B93" i="14"/>
  <c r="L23" i="15"/>
  <c r="J21" i="15"/>
  <c r="K23" i="15"/>
  <c r="H24" i="15"/>
  <c r="O93" i="14"/>
  <c r="D94" i="17" s="1"/>
  <c r="N93" i="14"/>
  <c r="C94" i="17" s="1"/>
  <c r="M94" i="14"/>
  <c r="P93" i="14"/>
  <c r="E94" i="17" s="1"/>
  <c r="I23" i="15"/>
  <c r="Q91" i="14" l="1"/>
  <c r="F92" i="17" s="1"/>
  <c r="L92" i="17"/>
  <c r="F92" i="14"/>
  <c r="H92" i="14"/>
  <c r="AA91" i="14"/>
  <c r="P92" i="17" s="1"/>
  <c r="Y91" i="14"/>
  <c r="N92" i="17" s="1"/>
  <c r="A92" i="17"/>
  <c r="Z91" i="14"/>
  <c r="O92" i="17" s="1"/>
  <c r="B95" i="17"/>
  <c r="G94" i="14"/>
  <c r="M25" i="15" s="1"/>
  <c r="L92" i="14"/>
  <c r="AC92" i="14"/>
  <c r="R93" i="17" s="1"/>
  <c r="AB92" i="14"/>
  <c r="Q93" i="17" s="1"/>
  <c r="J22" i="15"/>
  <c r="J91" i="17"/>
  <c r="H91" i="17"/>
  <c r="C94" i="14"/>
  <c r="B94" i="14"/>
  <c r="I94" i="14"/>
  <c r="A94" i="14"/>
  <c r="D94" i="14"/>
  <c r="E93" i="14"/>
  <c r="J93" i="14"/>
  <c r="K93" i="14" s="1"/>
  <c r="AD93" i="14" s="1"/>
  <c r="S94" i="17" s="1"/>
  <c r="K24" i="15"/>
  <c r="L24" i="15"/>
  <c r="M95" i="14"/>
  <c r="P94" i="14"/>
  <c r="E95" i="17" s="1"/>
  <c r="H25" i="15"/>
  <c r="O94" i="14"/>
  <c r="D95" i="17" s="1"/>
  <c r="N94" i="14"/>
  <c r="C95" i="17" s="1"/>
  <c r="I24" i="15"/>
  <c r="H92" i="17" l="1"/>
  <c r="Q92" i="14"/>
  <c r="F93" i="17" s="1"/>
  <c r="L93" i="17"/>
  <c r="H93" i="17"/>
  <c r="F93" i="14"/>
  <c r="H93" i="14"/>
  <c r="AA92" i="14"/>
  <c r="P93" i="17" s="1"/>
  <c r="Y92" i="14"/>
  <c r="N93" i="17" s="1"/>
  <c r="A93" i="17"/>
  <c r="Z92" i="14"/>
  <c r="O93" i="17" s="1"/>
  <c r="B96" i="17"/>
  <c r="G95" i="14"/>
  <c r="M26" i="15" s="1"/>
  <c r="AB93" i="14"/>
  <c r="Q94" i="17" s="1"/>
  <c r="AC93" i="14"/>
  <c r="R94" i="17" s="1"/>
  <c r="J92" i="17"/>
  <c r="E94" i="14"/>
  <c r="J94" i="14"/>
  <c r="K94" i="14" s="1"/>
  <c r="AD94" i="14" s="1"/>
  <c r="S95" i="17" s="1"/>
  <c r="C95" i="14"/>
  <c r="A95" i="14"/>
  <c r="I95" i="14"/>
  <c r="B95" i="14"/>
  <c r="D95" i="14"/>
  <c r="L93" i="14"/>
  <c r="J23" i="15"/>
  <c r="K25" i="15"/>
  <c r="L25" i="15"/>
  <c r="I25" i="15"/>
  <c r="H26" i="15"/>
  <c r="M96" i="14"/>
  <c r="O95" i="14"/>
  <c r="D96" i="17" s="1"/>
  <c r="N95" i="14"/>
  <c r="C96" i="17" s="1"/>
  <c r="P95" i="14"/>
  <c r="E96" i="17" s="1"/>
  <c r="J93" i="17" l="1"/>
  <c r="Q93" i="14"/>
  <c r="L94" i="17"/>
  <c r="H94" i="17"/>
  <c r="AA93" i="14"/>
  <c r="P94" i="17" s="1"/>
  <c r="Y93" i="14"/>
  <c r="N94" i="17" s="1"/>
  <c r="F94" i="14"/>
  <c r="H94" i="14"/>
  <c r="A94" i="17"/>
  <c r="Z93" i="14"/>
  <c r="O94" i="17" s="1"/>
  <c r="B97" i="17"/>
  <c r="G96" i="14"/>
  <c r="M27" i="15" s="1"/>
  <c r="L94" i="14"/>
  <c r="AC94" i="14"/>
  <c r="R95" i="17" s="1"/>
  <c r="AB94" i="14"/>
  <c r="Q95" i="17" s="1"/>
  <c r="E95" i="14"/>
  <c r="J95" i="14"/>
  <c r="K95" i="14" s="1"/>
  <c r="AD95" i="14" s="1"/>
  <c r="S96" i="17" s="1"/>
  <c r="F94" i="17"/>
  <c r="C96" i="14"/>
  <c r="D96" i="14"/>
  <c r="I96" i="14"/>
  <c r="B96" i="14"/>
  <c r="A96" i="14"/>
  <c r="K26" i="15"/>
  <c r="L26" i="15"/>
  <c r="J24" i="15"/>
  <c r="I26" i="15"/>
  <c r="M97" i="14"/>
  <c r="H27" i="15"/>
  <c r="N96" i="14"/>
  <c r="C97" i="17" s="1"/>
  <c r="P96" i="14"/>
  <c r="E97" i="17" s="1"/>
  <c r="O96" i="14"/>
  <c r="D97" i="17" s="1"/>
  <c r="J94" i="17" l="1"/>
  <c r="L95" i="17"/>
  <c r="H95" i="17"/>
  <c r="AA94" i="14"/>
  <c r="P95" i="17" s="1"/>
  <c r="Y94" i="14"/>
  <c r="N95" i="17" s="1"/>
  <c r="F95" i="14"/>
  <c r="H95" i="14"/>
  <c r="Q94" i="14"/>
  <c r="F95" i="17" s="1"/>
  <c r="A95" i="17"/>
  <c r="Z94" i="14"/>
  <c r="O95" i="17" s="1"/>
  <c r="L95" i="14"/>
  <c r="AC95" i="14"/>
  <c r="R96" i="17" s="1"/>
  <c r="AB95" i="14"/>
  <c r="Q96" i="17" s="1"/>
  <c r="B98" i="17"/>
  <c r="G97" i="14"/>
  <c r="M28" i="15" s="1"/>
  <c r="E96" i="14"/>
  <c r="J96" i="14"/>
  <c r="K96" i="14" s="1"/>
  <c r="AD96" i="14" s="1"/>
  <c r="S97" i="17" s="1"/>
  <c r="I97" i="14"/>
  <c r="A97" i="14"/>
  <c r="D97" i="14"/>
  <c r="C97" i="14"/>
  <c r="B97" i="14"/>
  <c r="J25" i="15"/>
  <c r="K27" i="15"/>
  <c r="L27" i="15"/>
  <c r="H28" i="15"/>
  <c r="O97" i="14"/>
  <c r="D98" i="17" s="1"/>
  <c r="M98" i="14"/>
  <c r="N97" i="14"/>
  <c r="C98" i="17" s="1"/>
  <c r="P97" i="14"/>
  <c r="E98" i="17" s="1"/>
  <c r="I27" i="15"/>
  <c r="Q95" i="14" l="1"/>
  <c r="F96" i="17" s="1"/>
  <c r="W95" i="14"/>
  <c r="L96" i="17" s="1"/>
  <c r="S95" i="14"/>
  <c r="H96" i="17" s="1"/>
  <c r="J95" i="17"/>
  <c r="AA95" i="14"/>
  <c r="P96" i="17" s="1"/>
  <c r="Y95" i="14"/>
  <c r="N96" i="17" s="1"/>
  <c r="F96" i="14"/>
  <c r="H96" i="14"/>
  <c r="A96" i="17"/>
  <c r="Z95" i="14"/>
  <c r="O96" i="17" s="1"/>
  <c r="B99" i="17"/>
  <c r="G98" i="14"/>
  <c r="M29" i="15" s="1"/>
  <c r="L96" i="14"/>
  <c r="AC96" i="14"/>
  <c r="R97" i="17" s="1"/>
  <c r="AB96" i="14"/>
  <c r="Q97" i="17" s="1"/>
  <c r="E97" i="14"/>
  <c r="J97" i="14"/>
  <c r="C98" i="14"/>
  <c r="B98" i="14"/>
  <c r="I98" i="14"/>
  <c r="D98" i="14"/>
  <c r="A98" i="14"/>
  <c r="K97" i="14"/>
  <c r="AD97" i="14" s="1"/>
  <c r="S98" i="17" s="1"/>
  <c r="L28" i="15"/>
  <c r="J26" i="15"/>
  <c r="K28" i="15"/>
  <c r="O98" i="14"/>
  <c r="D99" i="17" s="1"/>
  <c r="M99" i="14"/>
  <c r="N98" i="14"/>
  <c r="C99" i="17" s="1"/>
  <c r="H29" i="15"/>
  <c r="P98" i="14"/>
  <c r="E99" i="17" s="1"/>
  <c r="I28" i="15"/>
  <c r="Q96" i="14" l="1"/>
  <c r="F97" i="17" s="1"/>
  <c r="L97" i="17"/>
  <c r="H97" i="17"/>
  <c r="AA96" i="14"/>
  <c r="P97" i="17" s="1"/>
  <c r="Y96" i="14"/>
  <c r="N97" i="17" s="1"/>
  <c r="U95" i="14"/>
  <c r="J96" i="17" s="1"/>
  <c r="F97" i="14"/>
  <c r="H97" i="14"/>
  <c r="A97" i="17"/>
  <c r="Z96" i="14"/>
  <c r="O97" i="17" s="1"/>
  <c r="B100" i="17"/>
  <c r="G99" i="14"/>
  <c r="M30" i="15" s="1"/>
  <c r="AB97" i="14"/>
  <c r="Q98" i="17" s="1"/>
  <c r="AC97" i="14"/>
  <c r="R98" i="17" s="1"/>
  <c r="J98" i="14"/>
  <c r="K98" i="14" s="1"/>
  <c r="AD98" i="14" s="1"/>
  <c r="S99" i="17" s="1"/>
  <c r="C99" i="14"/>
  <c r="A99" i="14"/>
  <c r="I99" i="14"/>
  <c r="B99" i="14"/>
  <c r="D99" i="14"/>
  <c r="E98" i="14"/>
  <c r="L97" i="14"/>
  <c r="L29" i="15"/>
  <c r="J27" i="15"/>
  <c r="K29" i="15"/>
  <c r="I29" i="15"/>
  <c r="M100" i="14"/>
  <c r="H30" i="15"/>
  <c r="N99" i="14"/>
  <c r="C100" i="17" s="1"/>
  <c r="P99" i="14"/>
  <c r="E100" i="17" s="1"/>
  <c r="O99" i="14"/>
  <c r="D100" i="17" s="1"/>
  <c r="J97" i="17" l="1"/>
  <c r="Q97" i="14"/>
  <c r="L98" i="17"/>
  <c r="F98" i="14"/>
  <c r="H98" i="14"/>
  <c r="AA97" i="14"/>
  <c r="P98" i="17" s="1"/>
  <c r="Y97" i="14"/>
  <c r="N98" i="17" s="1"/>
  <c r="A98" i="17"/>
  <c r="Z97" i="14"/>
  <c r="O98" i="17" s="1"/>
  <c r="AC98" i="14"/>
  <c r="R99" i="17" s="1"/>
  <c r="AB98" i="14"/>
  <c r="Q99" i="17" s="1"/>
  <c r="B101" i="17"/>
  <c r="G100" i="14"/>
  <c r="M31" i="15" s="1"/>
  <c r="E99" i="14"/>
  <c r="L98" i="14"/>
  <c r="D100" i="14"/>
  <c r="I100" i="14"/>
  <c r="B100" i="14"/>
  <c r="C100" i="14"/>
  <c r="A100" i="14"/>
  <c r="F98" i="17"/>
  <c r="J99" i="14"/>
  <c r="K99" i="14" s="1"/>
  <c r="AD99" i="14" s="1"/>
  <c r="S100" i="17" s="1"/>
  <c r="L30" i="15"/>
  <c r="J28" i="15"/>
  <c r="K30" i="15"/>
  <c r="M101" i="14"/>
  <c r="H31" i="15"/>
  <c r="P100" i="14"/>
  <c r="E101" i="17" s="1"/>
  <c r="N100" i="14"/>
  <c r="C101" i="17" s="1"/>
  <c r="O100" i="14"/>
  <c r="D101" i="17" s="1"/>
  <c r="I30" i="15"/>
  <c r="Q98" i="14" l="1"/>
  <c r="F99" i="17" s="1"/>
  <c r="L99" i="17"/>
  <c r="F99" i="14"/>
  <c r="H99" i="14"/>
  <c r="AA98" i="14"/>
  <c r="P99" i="17" s="1"/>
  <c r="Y98" i="14"/>
  <c r="N99" i="17" s="1"/>
  <c r="A99" i="17"/>
  <c r="Z98" i="14"/>
  <c r="O99" i="17" s="1"/>
  <c r="AC99" i="14"/>
  <c r="R100" i="17" s="1"/>
  <c r="AB99" i="14"/>
  <c r="Q100" i="17" s="1"/>
  <c r="B102" i="17"/>
  <c r="G101" i="14"/>
  <c r="M32" i="15" s="1"/>
  <c r="J98" i="17"/>
  <c r="H98" i="17"/>
  <c r="L99" i="14"/>
  <c r="B101" i="14"/>
  <c r="I101" i="14"/>
  <c r="A101" i="14"/>
  <c r="C101" i="14"/>
  <c r="D101" i="14"/>
  <c r="E100" i="14"/>
  <c r="J100" i="14"/>
  <c r="K100" i="14" s="1"/>
  <c r="AD100" i="14" s="1"/>
  <c r="S101" i="17" s="1"/>
  <c r="K31" i="15"/>
  <c r="L31" i="15"/>
  <c r="J29" i="15"/>
  <c r="O101" i="14"/>
  <c r="D102" i="17" s="1"/>
  <c r="M102" i="14"/>
  <c r="P101" i="14"/>
  <c r="E102" i="17" s="1"/>
  <c r="H32" i="15"/>
  <c r="N101" i="14"/>
  <c r="C102" i="17" s="1"/>
  <c r="I31" i="15"/>
  <c r="H99" i="17" l="1"/>
  <c r="Q99" i="14"/>
  <c r="F100" i="17" s="1"/>
  <c r="L100" i="17"/>
  <c r="H100" i="17"/>
  <c r="F100" i="14"/>
  <c r="H100" i="14"/>
  <c r="AA99" i="14"/>
  <c r="P100" i="17" s="1"/>
  <c r="Y99" i="14"/>
  <c r="N100" i="17" s="1"/>
  <c r="A100" i="17"/>
  <c r="Z99" i="14"/>
  <c r="O100" i="17" s="1"/>
  <c r="B103" i="17"/>
  <c r="G102" i="14"/>
  <c r="M33" i="15" s="1"/>
  <c r="AC100" i="14"/>
  <c r="R101" i="17" s="1"/>
  <c r="AB100" i="14"/>
  <c r="Q101" i="17" s="1"/>
  <c r="J99" i="17"/>
  <c r="E101" i="14"/>
  <c r="L100" i="14"/>
  <c r="J101" i="14"/>
  <c r="K101" i="14" s="1"/>
  <c r="AD101" i="14" s="1"/>
  <c r="S102" i="17" s="1"/>
  <c r="D102" i="14"/>
  <c r="C102" i="14"/>
  <c r="A102" i="14"/>
  <c r="I102" i="14"/>
  <c r="B102" i="14"/>
  <c r="K32" i="15"/>
  <c r="J30" i="15"/>
  <c r="L32" i="15"/>
  <c r="I32" i="15"/>
  <c r="N102" i="14"/>
  <c r="C103" i="17" s="1"/>
  <c r="O102" i="14"/>
  <c r="D103" i="17" s="1"/>
  <c r="P102" i="14"/>
  <c r="E103" i="17" s="1"/>
  <c r="M106" i="14"/>
  <c r="H33" i="15"/>
  <c r="J100" i="17" l="1"/>
  <c r="Q100" i="14"/>
  <c r="F101" i="17" s="1"/>
  <c r="L101" i="17"/>
  <c r="H101" i="17"/>
  <c r="F101" i="14"/>
  <c r="H101" i="14"/>
  <c r="AA100" i="14"/>
  <c r="P101" i="17" s="1"/>
  <c r="Y100" i="14"/>
  <c r="N101" i="17" s="1"/>
  <c r="A101" i="17"/>
  <c r="Z100" i="14"/>
  <c r="O101" i="17" s="1"/>
  <c r="B107" i="17"/>
  <c r="G106" i="14"/>
  <c r="M35" i="15" s="1"/>
  <c r="AB101" i="14"/>
  <c r="Q102" i="17" s="1"/>
  <c r="AC101" i="14"/>
  <c r="R102" i="17" s="1"/>
  <c r="L101" i="14"/>
  <c r="E102" i="14"/>
  <c r="J102" i="14"/>
  <c r="K102" i="14" s="1"/>
  <c r="AD102" i="14" s="1"/>
  <c r="S103" i="17" s="1"/>
  <c r="C106" i="14"/>
  <c r="B106" i="14"/>
  <c r="I106" i="14"/>
  <c r="A106" i="14"/>
  <c r="D106" i="14"/>
  <c r="K33" i="15"/>
  <c r="J31" i="15"/>
  <c r="L33" i="15"/>
  <c r="N106" i="14"/>
  <c r="C107" i="17" s="1"/>
  <c r="O106" i="14"/>
  <c r="D107" i="17" s="1"/>
  <c r="P106" i="14"/>
  <c r="E107" i="17" s="1"/>
  <c r="M107" i="14"/>
  <c r="H35" i="15"/>
  <c r="I33" i="15"/>
  <c r="Q101" i="14" l="1"/>
  <c r="F102" i="17" s="1"/>
  <c r="L102" i="17"/>
  <c r="H102" i="17"/>
  <c r="J101" i="17"/>
  <c r="F102" i="14"/>
  <c r="H102" i="14"/>
  <c r="AA101" i="14"/>
  <c r="P102" i="17" s="1"/>
  <c r="Y101" i="14"/>
  <c r="N102" i="17" s="1"/>
  <c r="A102" i="17"/>
  <c r="Z101" i="14"/>
  <c r="O102" i="17" s="1"/>
  <c r="B108" i="17"/>
  <c r="G107" i="14"/>
  <c r="M36" i="15" s="1"/>
  <c r="AC102" i="14"/>
  <c r="R103" i="17" s="1"/>
  <c r="AB102" i="14"/>
  <c r="Q103" i="17" s="1"/>
  <c r="L102" i="14"/>
  <c r="D107" i="14"/>
  <c r="C107" i="14"/>
  <c r="A107" i="14"/>
  <c r="I107" i="14"/>
  <c r="B107" i="14"/>
  <c r="J106" i="14"/>
  <c r="K106" i="14" s="1"/>
  <c r="AD106" i="14" s="1"/>
  <c r="S107" i="17" s="1"/>
  <c r="E106" i="14"/>
  <c r="J32" i="15"/>
  <c r="L35" i="15"/>
  <c r="K35" i="15"/>
  <c r="N107" i="14"/>
  <c r="C108" i="17" s="1"/>
  <c r="O107" i="14"/>
  <c r="D108" i="17" s="1"/>
  <c r="H36" i="15"/>
  <c r="M108" i="14"/>
  <c r="P107" i="14"/>
  <c r="E108" i="17" s="1"/>
  <c r="I35" i="15"/>
  <c r="J102" i="17" l="1"/>
  <c r="Q102" i="14"/>
  <c r="F103" i="17" s="1"/>
  <c r="F105" i="17" s="1"/>
  <c r="W102" i="14"/>
  <c r="L103" i="17" s="1"/>
  <c r="S102" i="14"/>
  <c r="H103" i="17" s="1"/>
  <c r="F106" i="14"/>
  <c r="H106" i="14"/>
  <c r="AA102" i="14"/>
  <c r="P103" i="17" s="1"/>
  <c r="Y102" i="14"/>
  <c r="N103" i="17" s="1"/>
  <c r="A103" i="17"/>
  <c r="Z102" i="14"/>
  <c r="O103" i="17" s="1"/>
  <c r="B109" i="17"/>
  <c r="G108" i="14"/>
  <c r="M37" i="15" s="1"/>
  <c r="L106" i="14"/>
  <c r="AC106" i="14"/>
  <c r="R107" i="17" s="1"/>
  <c r="AB106" i="14"/>
  <c r="Q107" i="17" s="1"/>
  <c r="J107" i="14"/>
  <c r="K107" i="14" s="1"/>
  <c r="AD107" i="14" s="1"/>
  <c r="S108" i="17" s="1"/>
  <c r="I108" i="14"/>
  <c r="B108" i="14"/>
  <c r="A108" i="14"/>
  <c r="C108" i="14"/>
  <c r="D108" i="14"/>
  <c r="E107" i="14"/>
  <c r="L36" i="15"/>
  <c r="J33" i="15"/>
  <c r="K36" i="15"/>
  <c r="H37" i="15"/>
  <c r="P108" i="14"/>
  <c r="E109" i="17" s="1"/>
  <c r="M109" i="14"/>
  <c r="N108" i="14"/>
  <c r="C109" i="17" s="1"/>
  <c r="O108" i="14"/>
  <c r="D109" i="17" s="1"/>
  <c r="I36" i="15"/>
  <c r="Z91" i="17" l="1"/>
  <c r="U102" i="14"/>
  <c r="J103" i="17" s="1"/>
  <c r="L107" i="17"/>
  <c r="H107" i="17"/>
  <c r="Y106" i="14"/>
  <c r="N107" i="17" s="1"/>
  <c r="AA106" i="14"/>
  <c r="P107" i="17" s="1"/>
  <c r="F107" i="14"/>
  <c r="H107" i="14"/>
  <c r="Q106" i="14"/>
  <c r="F107" i="17" s="1"/>
  <c r="A107" i="17"/>
  <c r="Z106" i="14"/>
  <c r="O107" i="17" s="1"/>
  <c r="B110" i="17"/>
  <c r="G109" i="14"/>
  <c r="M38" i="15" s="1"/>
  <c r="L107" i="14"/>
  <c r="AC107" i="14"/>
  <c r="R108" i="17" s="1"/>
  <c r="AB107" i="14"/>
  <c r="Q108" i="17" s="1"/>
  <c r="AA407" i="17"/>
  <c r="E108" i="14"/>
  <c r="J108" i="14"/>
  <c r="K108" i="14" s="1"/>
  <c r="AD108" i="14" s="1"/>
  <c r="S109" i="17" s="1"/>
  <c r="C109" i="14"/>
  <c r="B109" i="14"/>
  <c r="D109" i="14"/>
  <c r="A109" i="14"/>
  <c r="I109" i="14"/>
  <c r="K37" i="15"/>
  <c r="J35" i="15"/>
  <c r="L37" i="15"/>
  <c r="I37" i="15"/>
  <c r="H38" i="15"/>
  <c r="O109" i="14"/>
  <c r="D110" i="17" s="1"/>
  <c r="N109" i="14"/>
  <c r="C110" i="17" s="1"/>
  <c r="M110" i="14"/>
  <c r="P109" i="14"/>
  <c r="E110" i="17" s="1"/>
  <c r="AA91" i="17" l="1"/>
  <c r="AC91" i="17"/>
  <c r="AC92" i="17" s="1"/>
  <c r="J107" i="17"/>
  <c r="Q107" i="14"/>
  <c r="F108" i="17" s="1"/>
  <c r="L108" i="17"/>
  <c r="J108" i="17"/>
  <c r="F108" i="14"/>
  <c r="H108" i="14"/>
  <c r="AA107" i="14"/>
  <c r="P108" i="17" s="1"/>
  <c r="Y107" i="14"/>
  <c r="N108" i="17" s="1"/>
  <c r="A108" i="17"/>
  <c r="Z107" i="14"/>
  <c r="O108" i="17" s="1"/>
  <c r="B111" i="17"/>
  <c r="G110" i="14"/>
  <c r="M39" i="15" s="1"/>
  <c r="AB108" i="14"/>
  <c r="Q109" i="17" s="1"/>
  <c r="AC108" i="14"/>
  <c r="R109" i="17" s="1"/>
  <c r="L108" i="14"/>
  <c r="I110" i="14"/>
  <c r="A110" i="14"/>
  <c r="D110" i="14"/>
  <c r="C110" i="14"/>
  <c r="B110" i="14"/>
  <c r="E109" i="14"/>
  <c r="J109" i="14"/>
  <c r="K109" i="14" s="1"/>
  <c r="AD109" i="14" s="1"/>
  <c r="S110" i="17" s="1"/>
  <c r="L38" i="15"/>
  <c r="J36" i="15"/>
  <c r="K38" i="15"/>
  <c r="M111" i="14"/>
  <c r="P110" i="14"/>
  <c r="E111" i="17" s="1"/>
  <c r="H39" i="15"/>
  <c r="O110" i="14"/>
  <c r="D111" i="17" s="1"/>
  <c r="N110" i="14"/>
  <c r="C111" i="17" s="1"/>
  <c r="I38" i="15"/>
  <c r="H108" i="17" l="1"/>
  <c r="Q108" i="14"/>
  <c r="F109" i="17" s="1"/>
  <c r="L109" i="17"/>
  <c r="F109" i="14"/>
  <c r="H109" i="14"/>
  <c r="AA108" i="14"/>
  <c r="P109" i="17" s="1"/>
  <c r="Y108" i="14"/>
  <c r="N109" i="17" s="1"/>
  <c r="A109" i="17"/>
  <c r="Z108" i="14"/>
  <c r="O109" i="17" s="1"/>
  <c r="B112" i="17"/>
  <c r="G111" i="14"/>
  <c r="M40" i="15" s="1"/>
  <c r="AC109" i="14"/>
  <c r="R110" i="17" s="1"/>
  <c r="AB109" i="14"/>
  <c r="Q110" i="17" s="1"/>
  <c r="AB407" i="17"/>
  <c r="L109" i="14"/>
  <c r="J110" i="14"/>
  <c r="K110" i="14" s="1"/>
  <c r="AD110" i="14" s="1"/>
  <c r="S111" i="17" s="1"/>
  <c r="C111" i="14"/>
  <c r="B111" i="14"/>
  <c r="I111" i="14"/>
  <c r="A111" i="14"/>
  <c r="D111" i="14"/>
  <c r="E110" i="14"/>
  <c r="K39" i="15"/>
  <c r="J37" i="15"/>
  <c r="L39" i="15"/>
  <c r="I39" i="15"/>
  <c r="M112" i="14"/>
  <c r="N111" i="14"/>
  <c r="C112" i="17" s="1"/>
  <c r="H40" i="15"/>
  <c r="P111" i="14"/>
  <c r="E112" i="17" s="1"/>
  <c r="O111" i="14"/>
  <c r="D112" i="17" s="1"/>
  <c r="H109" i="17" l="1"/>
  <c r="Q109" i="14"/>
  <c r="F110" i="17" s="1"/>
  <c r="L110" i="17"/>
  <c r="H110" i="17"/>
  <c r="F110" i="14"/>
  <c r="H110" i="14"/>
  <c r="AA109" i="14"/>
  <c r="P110" i="17" s="1"/>
  <c r="Y109" i="14"/>
  <c r="N110" i="17" s="1"/>
  <c r="A110" i="17"/>
  <c r="Z109" i="14"/>
  <c r="O110" i="17" s="1"/>
  <c r="L110" i="14"/>
  <c r="AC110" i="14"/>
  <c r="R111" i="17" s="1"/>
  <c r="AB110" i="14"/>
  <c r="Q111" i="17" s="1"/>
  <c r="B113" i="17"/>
  <c r="G112" i="14"/>
  <c r="M41" i="15" s="1"/>
  <c r="J109" i="17"/>
  <c r="AC407" i="17"/>
  <c r="J111" i="14"/>
  <c r="K111" i="14" s="1"/>
  <c r="AD111" i="14" s="1"/>
  <c r="S112" i="17" s="1"/>
  <c r="A112" i="14"/>
  <c r="D112" i="14"/>
  <c r="B112" i="14"/>
  <c r="I112" i="14"/>
  <c r="C112" i="14"/>
  <c r="E111" i="14"/>
  <c r="L40" i="15"/>
  <c r="K40" i="15"/>
  <c r="M113" i="14"/>
  <c r="O112" i="14"/>
  <c r="D113" i="17" s="1"/>
  <c r="N112" i="14"/>
  <c r="C113" i="17" s="1"/>
  <c r="H41" i="15"/>
  <c r="P112" i="14"/>
  <c r="E113" i="17" s="1"/>
  <c r="I40" i="15"/>
  <c r="Q110" i="14" l="1"/>
  <c r="F111" i="17" s="1"/>
  <c r="L111" i="17"/>
  <c r="H111" i="17"/>
  <c r="J110" i="17"/>
  <c r="F111" i="14"/>
  <c r="H111" i="14"/>
  <c r="AA110" i="14"/>
  <c r="P111" i="17" s="1"/>
  <c r="Y110" i="14"/>
  <c r="N111" i="17" s="1"/>
  <c r="A111" i="17"/>
  <c r="Z110" i="14"/>
  <c r="O111" i="17" s="1"/>
  <c r="AC111" i="14"/>
  <c r="R112" i="17" s="1"/>
  <c r="AB111" i="14"/>
  <c r="Q112" i="17" s="1"/>
  <c r="B114" i="17"/>
  <c r="G113" i="14"/>
  <c r="M42" i="15" s="1"/>
  <c r="J112" i="14"/>
  <c r="K112" i="14" s="1"/>
  <c r="AD112" i="14" s="1"/>
  <c r="S113" i="17" s="1"/>
  <c r="B113" i="14"/>
  <c r="I113" i="14"/>
  <c r="A113" i="14"/>
  <c r="C113" i="14"/>
  <c r="D113" i="14"/>
  <c r="E112" i="14"/>
  <c r="L111" i="14"/>
  <c r="J39" i="15"/>
  <c r="K41" i="15"/>
  <c r="L41" i="15"/>
  <c r="J38" i="15"/>
  <c r="N113" i="14"/>
  <c r="C114" i="17" s="1"/>
  <c r="H42" i="15"/>
  <c r="M114" i="14"/>
  <c r="O113" i="14"/>
  <c r="D114" i="17" s="1"/>
  <c r="P113" i="14"/>
  <c r="E114" i="17" s="1"/>
  <c r="I41" i="15"/>
  <c r="Q111" i="14" l="1"/>
  <c r="F112" i="17" s="1"/>
  <c r="L112" i="17"/>
  <c r="H112" i="17"/>
  <c r="J111" i="17"/>
  <c r="F112" i="14"/>
  <c r="H112" i="14"/>
  <c r="AA111" i="14"/>
  <c r="P112" i="17" s="1"/>
  <c r="Y111" i="14"/>
  <c r="N112" i="17" s="1"/>
  <c r="A112" i="17"/>
  <c r="Z111" i="14"/>
  <c r="O112" i="17" s="1"/>
  <c r="B115" i="17"/>
  <c r="G114" i="14"/>
  <c r="M43" i="15" s="1"/>
  <c r="AB112" i="14"/>
  <c r="Q113" i="17" s="1"/>
  <c r="AC112" i="14"/>
  <c r="R113" i="17" s="1"/>
  <c r="J113" i="14"/>
  <c r="K113" i="14" s="1"/>
  <c r="AD113" i="14" s="1"/>
  <c r="S114" i="17" s="1"/>
  <c r="E113" i="14"/>
  <c r="D114" i="14"/>
  <c r="C114" i="14"/>
  <c r="I114" i="14"/>
  <c r="B114" i="14"/>
  <c r="A114" i="14"/>
  <c r="L112" i="14"/>
  <c r="K42" i="15"/>
  <c r="L42" i="15"/>
  <c r="J40" i="15"/>
  <c r="H43" i="15"/>
  <c r="M115" i="14"/>
  <c r="N114" i="14"/>
  <c r="C115" i="17" s="1"/>
  <c r="O114" i="14"/>
  <c r="D115" i="17" s="1"/>
  <c r="P114" i="14"/>
  <c r="E115" i="17" s="1"/>
  <c r="I42" i="15"/>
  <c r="Q112" i="14" l="1"/>
  <c r="F113" i="17" s="1"/>
  <c r="W112" i="14"/>
  <c r="L113" i="17" s="1"/>
  <c r="S112" i="14"/>
  <c r="H113" i="17" s="1"/>
  <c r="J112" i="17"/>
  <c r="F113" i="14"/>
  <c r="H113" i="14"/>
  <c r="AA112" i="14"/>
  <c r="P113" i="17" s="1"/>
  <c r="Y112" i="14"/>
  <c r="N113" i="17" s="1"/>
  <c r="A113" i="17"/>
  <c r="Z112" i="14"/>
  <c r="O113" i="17" s="1"/>
  <c r="L113" i="14"/>
  <c r="AC113" i="14"/>
  <c r="R114" i="17" s="1"/>
  <c r="AB113" i="14"/>
  <c r="Q114" i="17" s="1"/>
  <c r="B116" i="17"/>
  <c r="G115" i="14"/>
  <c r="M44" i="15" s="1"/>
  <c r="J114" i="14"/>
  <c r="B115" i="14"/>
  <c r="I115" i="14"/>
  <c r="A115" i="14"/>
  <c r="D115" i="14"/>
  <c r="C115" i="14"/>
  <c r="E114" i="14"/>
  <c r="K114" i="14"/>
  <c r="AD114" i="14" s="1"/>
  <c r="S115" i="17" s="1"/>
  <c r="L43" i="15"/>
  <c r="K43" i="15"/>
  <c r="J41" i="15"/>
  <c r="N115" i="14"/>
  <c r="C116" i="17" s="1"/>
  <c r="M116" i="14"/>
  <c r="H44" i="15"/>
  <c r="O115" i="14"/>
  <c r="D116" i="17" s="1"/>
  <c r="P115" i="14"/>
  <c r="E116" i="17" s="1"/>
  <c r="I43" i="15"/>
  <c r="L114" i="17" l="1"/>
  <c r="H114" i="17"/>
  <c r="Y113" i="14"/>
  <c r="N114" i="17" s="1"/>
  <c r="AA113" i="14"/>
  <c r="P114" i="17" s="1"/>
  <c r="U112" i="14"/>
  <c r="J113" i="17" s="1"/>
  <c r="F114" i="14"/>
  <c r="H114" i="14"/>
  <c r="Q113" i="14"/>
  <c r="F114" i="17" s="1"/>
  <c r="A114" i="17"/>
  <c r="Z113" i="14"/>
  <c r="O114" i="17" s="1"/>
  <c r="AC114" i="14"/>
  <c r="R115" i="17" s="1"/>
  <c r="AB114" i="14"/>
  <c r="Q115" i="17" s="1"/>
  <c r="B117" i="17"/>
  <c r="G116" i="14"/>
  <c r="M45" i="15" s="1"/>
  <c r="L114" i="14"/>
  <c r="D116" i="14"/>
  <c r="C116" i="14"/>
  <c r="A116" i="14"/>
  <c r="I116" i="14"/>
  <c r="B116" i="14"/>
  <c r="E115" i="14"/>
  <c r="J115" i="14"/>
  <c r="K115" i="14" s="1"/>
  <c r="AD115" i="14" s="1"/>
  <c r="S116" i="17" s="1"/>
  <c r="L44" i="15"/>
  <c r="K44" i="15"/>
  <c r="J42" i="15"/>
  <c r="I44" i="15"/>
  <c r="H45" i="15"/>
  <c r="M117" i="14"/>
  <c r="P116" i="14"/>
  <c r="E117" i="17" s="1"/>
  <c r="O116" i="14"/>
  <c r="D117" i="17" s="1"/>
  <c r="N116" i="14"/>
  <c r="C117" i="17" s="1"/>
  <c r="J114" i="17" l="1"/>
  <c r="Q114" i="14"/>
  <c r="F115" i="17" s="1"/>
  <c r="L115" i="17"/>
  <c r="F115" i="14"/>
  <c r="H115" i="14"/>
  <c r="AA114" i="14"/>
  <c r="P115" i="17" s="1"/>
  <c r="Y114" i="14"/>
  <c r="N115" i="17" s="1"/>
  <c r="A115" i="17"/>
  <c r="Z114" i="14"/>
  <c r="O115" i="17" s="1"/>
  <c r="L115" i="14"/>
  <c r="AC115" i="14"/>
  <c r="R116" i="17" s="1"/>
  <c r="AB115" i="14"/>
  <c r="Q116" i="17" s="1"/>
  <c r="B118" i="17"/>
  <c r="G117" i="14"/>
  <c r="M46" i="15" s="1"/>
  <c r="I117" i="14"/>
  <c r="A117" i="14"/>
  <c r="D117" i="14"/>
  <c r="C117" i="14"/>
  <c r="B117" i="14"/>
  <c r="J116" i="14"/>
  <c r="K116" i="14" s="1"/>
  <c r="AD116" i="14" s="1"/>
  <c r="S117" i="17" s="1"/>
  <c r="E116" i="14"/>
  <c r="J43" i="15"/>
  <c r="L45" i="15"/>
  <c r="K45" i="15"/>
  <c r="I45" i="15"/>
  <c r="N117" i="14"/>
  <c r="C118" i="17" s="1"/>
  <c r="M118" i="14"/>
  <c r="P117" i="14"/>
  <c r="E118" i="17" s="1"/>
  <c r="H46" i="15"/>
  <c r="O117" i="14"/>
  <c r="D118" i="17" s="1"/>
  <c r="H115" i="17" l="1"/>
  <c r="L116" i="17"/>
  <c r="F116" i="14"/>
  <c r="H116" i="14"/>
  <c r="AA115" i="14"/>
  <c r="P116" i="17" s="1"/>
  <c r="Y115" i="14"/>
  <c r="N116" i="17" s="1"/>
  <c r="Q115" i="14"/>
  <c r="F116" i="17" s="1"/>
  <c r="A116" i="17"/>
  <c r="Z115" i="14"/>
  <c r="O116" i="17" s="1"/>
  <c r="B119" i="17"/>
  <c r="G118" i="14"/>
  <c r="M47" i="15" s="1"/>
  <c r="AB116" i="14"/>
  <c r="Q117" i="17" s="1"/>
  <c r="AC116" i="14"/>
  <c r="R117" i="17" s="1"/>
  <c r="L116" i="14"/>
  <c r="C118" i="14"/>
  <c r="B118" i="14"/>
  <c r="D118" i="14"/>
  <c r="A118" i="14"/>
  <c r="I118" i="14"/>
  <c r="J115" i="17"/>
  <c r="J117" i="14"/>
  <c r="K117" i="14" s="1"/>
  <c r="AD117" i="14" s="1"/>
  <c r="S118" i="17" s="1"/>
  <c r="E117" i="14"/>
  <c r="L46" i="15"/>
  <c r="J44" i="15"/>
  <c r="K46" i="15"/>
  <c r="I46" i="15"/>
  <c r="H47" i="15"/>
  <c r="M119" i="14"/>
  <c r="N118" i="14"/>
  <c r="C119" i="17" s="1"/>
  <c r="P118" i="14"/>
  <c r="E119" i="17" s="1"/>
  <c r="O118" i="14"/>
  <c r="D119" i="17" s="1"/>
  <c r="H116" i="17" l="1"/>
  <c r="Q116" i="14"/>
  <c r="F117" i="17" s="1"/>
  <c r="L117" i="17"/>
  <c r="H117" i="17"/>
  <c r="F117" i="14"/>
  <c r="H117" i="14"/>
  <c r="AA116" i="14"/>
  <c r="P117" i="17" s="1"/>
  <c r="Y116" i="14"/>
  <c r="N117" i="17" s="1"/>
  <c r="A117" i="17"/>
  <c r="Z116" i="14"/>
  <c r="O117" i="17" s="1"/>
  <c r="J116" i="17"/>
  <c r="B120" i="17"/>
  <c r="G119" i="14"/>
  <c r="M48" i="15" s="1"/>
  <c r="AC117" i="14"/>
  <c r="R118" i="17" s="1"/>
  <c r="AB117" i="14"/>
  <c r="Q118" i="17" s="1"/>
  <c r="L117" i="14"/>
  <c r="I119" i="14"/>
  <c r="A119" i="14"/>
  <c r="D119" i="14"/>
  <c r="C119" i="14"/>
  <c r="B119" i="14"/>
  <c r="E118" i="14"/>
  <c r="J118" i="14"/>
  <c r="K118" i="14" s="1"/>
  <c r="AD118" i="14" s="1"/>
  <c r="S119" i="17" s="1"/>
  <c r="L47" i="15"/>
  <c r="J45" i="15"/>
  <c r="K47" i="15"/>
  <c r="I47" i="15"/>
  <c r="P119" i="14"/>
  <c r="E120" i="17" s="1"/>
  <c r="H48" i="15"/>
  <c r="N119" i="14"/>
  <c r="C120" i="17" s="1"/>
  <c r="M120" i="14"/>
  <c r="O119" i="14"/>
  <c r="D120" i="17" s="1"/>
  <c r="Q117" i="14" l="1"/>
  <c r="F118" i="17" s="1"/>
  <c r="L118" i="17"/>
  <c r="H118" i="17"/>
  <c r="J117" i="17"/>
  <c r="F118" i="14"/>
  <c r="H118" i="14"/>
  <c r="AA117" i="14"/>
  <c r="P118" i="17" s="1"/>
  <c r="Y117" i="14"/>
  <c r="N118" i="17" s="1"/>
  <c r="A118" i="17"/>
  <c r="Z117" i="14"/>
  <c r="O118" i="17" s="1"/>
  <c r="AC118" i="14"/>
  <c r="R119" i="17" s="1"/>
  <c r="AB118" i="14"/>
  <c r="Q119" i="17" s="1"/>
  <c r="B121" i="17"/>
  <c r="G120" i="14"/>
  <c r="M49" i="15" s="1"/>
  <c r="L118" i="14"/>
  <c r="C120" i="14"/>
  <c r="I120" i="14"/>
  <c r="B120" i="14"/>
  <c r="D120" i="14"/>
  <c r="A120" i="14"/>
  <c r="J119" i="14"/>
  <c r="K119" i="14" s="1"/>
  <c r="AD119" i="14" s="1"/>
  <c r="S120" i="17" s="1"/>
  <c r="E119" i="14"/>
  <c r="J46" i="15"/>
  <c r="K48" i="15"/>
  <c r="L48" i="15"/>
  <c r="O120" i="14"/>
  <c r="D121" i="17" s="1"/>
  <c r="N120" i="14"/>
  <c r="C121" i="17" s="1"/>
  <c r="H49" i="15"/>
  <c r="M121" i="14"/>
  <c r="P120" i="14"/>
  <c r="E121" i="17" s="1"/>
  <c r="I48" i="15"/>
  <c r="Q118" i="14" l="1"/>
  <c r="F119" i="17" s="1"/>
  <c r="L119" i="17"/>
  <c r="H119" i="17"/>
  <c r="J118" i="17"/>
  <c r="F119" i="14"/>
  <c r="H119" i="14"/>
  <c r="AA118" i="14"/>
  <c r="P119" i="17" s="1"/>
  <c r="Y118" i="14"/>
  <c r="N119" i="17" s="1"/>
  <c r="A119" i="17"/>
  <c r="Z118" i="14"/>
  <c r="O119" i="17" s="1"/>
  <c r="L119" i="14"/>
  <c r="AC119" i="14"/>
  <c r="R120" i="17" s="1"/>
  <c r="AB119" i="14"/>
  <c r="Q120" i="17" s="1"/>
  <c r="B122" i="17"/>
  <c r="G121" i="14"/>
  <c r="M50" i="15" s="1"/>
  <c r="D121" i="14"/>
  <c r="C121" i="14"/>
  <c r="A121" i="14"/>
  <c r="B121" i="14"/>
  <c r="I121" i="14"/>
  <c r="J120" i="14"/>
  <c r="E120" i="14"/>
  <c r="K120" i="14"/>
  <c r="AD120" i="14" s="1"/>
  <c r="S121" i="17" s="1"/>
  <c r="L49" i="15"/>
  <c r="J47" i="15"/>
  <c r="K49" i="15"/>
  <c r="O121" i="14"/>
  <c r="D122" i="17" s="1"/>
  <c r="P121" i="14"/>
  <c r="E122" i="17" s="1"/>
  <c r="H50" i="15"/>
  <c r="N121" i="14"/>
  <c r="C122" i="17" s="1"/>
  <c r="M122" i="14"/>
  <c r="I49" i="15"/>
  <c r="W119" i="14" l="1"/>
  <c r="L120" i="17" s="1"/>
  <c r="S119" i="14"/>
  <c r="H120" i="17" s="1"/>
  <c r="J119" i="17"/>
  <c r="F120" i="14"/>
  <c r="H120" i="14"/>
  <c r="AA119" i="14"/>
  <c r="P120" i="17" s="1"/>
  <c r="Y119" i="14"/>
  <c r="N120" i="17" s="1"/>
  <c r="Q119" i="14"/>
  <c r="F120" i="17" s="1"/>
  <c r="A120" i="17"/>
  <c r="Z119" i="14"/>
  <c r="O120" i="17" s="1"/>
  <c r="B123" i="17"/>
  <c r="G122" i="14"/>
  <c r="M51" i="15" s="1"/>
  <c r="AB120" i="14"/>
  <c r="Q121" i="17" s="1"/>
  <c r="AC120" i="14"/>
  <c r="R121" i="17" s="1"/>
  <c r="B122" i="14"/>
  <c r="I122" i="14"/>
  <c r="A122" i="14"/>
  <c r="C122" i="14"/>
  <c r="D122" i="14"/>
  <c r="E121" i="14"/>
  <c r="L120" i="14"/>
  <c r="J121" i="14"/>
  <c r="K121" i="14" s="1"/>
  <c r="AD121" i="14" s="1"/>
  <c r="S122" i="17" s="1"/>
  <c r="L50" i="15"/>
  <c r="K50" i="15"/>
  <c r="J48" i="15"/>
  <c r="N122" i="14"/>
  <c r="C123" i="17" s="1"/>
  <c r="M123" i="14"/>
  <c r="P122" i="14"/>
  <c r="E123" i="17" s="1"/>
  <c r="H51" i="15"/>
  <c r="O122" i="14"/>
  <c r="D123" i="17" s="1"/>
  <c r="I50" i="15"/>
  <c r="Q120" i="14" l="1"/>
  <c r="F121" i="17" s="1"/>
  <c r="L121" i="17"/>
  <c r="U119" i="14"/>
  <c r="J120" i="17" s="1"/>
  <c r="AA120" i="14"/>
  <c r="P121" i="17" s="1"/>
  <c r="Y120" i="14"/>
  <c r="N121" i="17" s="1"/>
  <c r="F121" i="14"/>
  <c r="H121" i="14"/>
  <c r="A121" i="17"/>
  <c r="Z120" i="14"/>
  <c r="O121" i="17" s="1"/>
  <c r="B124" i="17"/>
  <c r="G123" i="14"/>
  <c r="M52" i="15" s="1"/>
  <c r="AC121" i="14"/>
  <c r="R122" i="17" s="1"/>
  <c r="AB121" i="14"/>
  <c r="Q122" i="17" s="1"/>
  <c r="L121" i="14"/>
  <c r="D123" i="14"/>
  <c r="C123" i="14"/>
  <c r="I123" i="14"/>
  <c r="B123" i="14"/>
  <c r="A123" i="14"/>
  <c r="J122" i="14"/>
  <c r="K122" i="14" s="1"/>
  <c r="AD122" i="14" s="1"/>
  <c r="S123" i="17" s="1"/>
  <c r="E122" i="14"/>
  <c r="J49" i="15"/>
  <c r="L51" i="15"/>
  <c r="K51" i="15"/>
  <c r="I51" i="15"/>
  <c r="H52" i="15"/>
  <c r="O123" i="14"/>
  <c r="D124" i="17" s="1"/>
  <c r="P123" i="14"/>
  <c r="E124" i="17" s="1"/>
  <c r="M124" i="14"/>
  <c r="N123" i="14"/>
  <c r="C124" i="17" s="1"/>
  <c r="H121" i="17" l="1"/>
  <c r="Q121" i="14"/>
  <c r="F122" i="17" s="1"/>
  <c r="L122" i="17"/>
  <c r="H122" i="17"/>
  <c r="Y121" i="14"/>
  <c r="N122" i="17" s="1"/>
  <c r="AA121" i="14"/>
  <c r="P122" i="17" s="1"/>
  <c r="F122" i="14"/>
  <c r="H122" i="14"/>
  <c r="A122" i="17"/>
  <c r="Z121" i="14"/>
  <c r="O122" i="17" s="1"/>
  <c r="B125" i="17"/>
  <c r="G124" i="14"/>
  <c r="M53" i="15" s="1"/>
  <c r="AC122" i="14"/>
  <c r="R123" i="17" s="1"/>
  <c r="AB122" i="14"/>
  <c r="Q123" i="17" s="1"/>
  <c r="L122" i="14"/>
  <c r="J121" i="17"/>
  <c r="E123" i="14"/>
  <c r="J123" i="14"/>
  <c r="K123" i="14" s="1"/>
  <c r="AD123" i="14" s="1"/>
  <c r="S124" i="17" s="1"/>
  <c r="I124" i="14"/>
  <c r="B124" i="14"/>
  <c r="A124" i="14"/>
  <c r="D124" i="14"/>
  <c r="C124" i="14"/>
  <c r="J50" i="15"/>
  <c r="L52" i="15"/>
  <c r="K52" i="15"/>
  <c r="I52" i="15"/>
  <c r="N124" i="14"/>
  <c r="C125" i="17" s="1"/>
  <c r="M125" i="14"/>
  <c r="O124" i="14"/>
  <c r="D125" i="17" s="1"/>
  <c r="P124" i="14"/>
  <c r="E125" i="17" s="1"/>
  <c r="H53" i="15"/>
  <c r="J122" i="17" l="1"/>
  <c r="Q122" i="14"/>
  <c r="F123" i="17" s="1"/>
  <c r="L123" i="17"/>
  <c r="F123" i="14"/>
  <c r="H123" i="14"/>
  <c r="AA122" i="14"/>
  <c r="P123" i="17" s="1"/>
  <c r="Y122" i="14"/>
  <c r="N123" i="17" s="1"/>
  <c r="A123" i="17"/>
  <c r="Z122" i="14"/>
  <c r="O123" i="17" s="1"/>
  <c r="B126" i="17"/>
  <c r="G125" i="14"/>
  <c r="M54" i="15" s="1"/>
  <c r="L123" i="14"/>
  <c r="AC123" i="14"/>
  <c r="R124" i="17" s="1"/>
  <c r="AB123" i="14"/>
  <c r="Q124" i="17" s="1"/>
  <c r="J124" i="14"/>
  <c r="K124" i="14" s="1"/>
  <c r="AD124" i="14" s="1"/>
  <c r="S125" i="17" s="1"/>
  <c r="E124" i="14"/>
  <c r="C125" i="14"/>
  <c r="B125" i="14"/>
  <c r="I125" i="14"/>
  <c r="D125" i="14"/>
  <c r="A125" i="14"/>
  <c r="J51" i="15"/>
  <c r="L53" i="15"/>
  <c r="K53" i="15"/>
  <c r="I53" i="15"/>
  <c r="O125" i="14"/>
  <c r="D126" i="17" s="1"/>
  <c r="H54" i="15"/>
  <c r="M126" i="14"/>
  <c r="N125" i="14"/>
  <c r="C126" i="17" s="1"/>
  <c r="P125" i="14"/>
  <c r="E126" i="17" s="1"/>
  <c r="H123" i="17" l="1"/>
  <c r="Q123" i="14"/>
  <c r="F124" i="17" s="1"/>
  <c r="L124" i="17"/>
  <c r="H124" i="17"/>
  <c r="F124" i="14"/>
  <c r="H124" i="14"/>
  <c r="AA123" i="14"/>
  <c r="P124" i="17" s="1"/>
  <c r="Y123" i="14"/>
  <c r="N124" i="17" s="1"/>
  <c r="A124" i="17"/>
  <c r="Z123" i="14"/>
  <c r="O124" i="17" s="1"/>
  <c r="B127" i="17"/>
  <c r="G126" i="14"/>
  <c r="M55" i="15" s="1"/>
  <c r="AB124" i="14"/>
  <c r="Q125" i="17" s="1"/>
  <c r="AC124" i="14"/>
  <c r="R125" i="17" s="1"/>
  <c r="J123" i="17"/>
  <c r="E125" i="14"/>
  <c r="J125" i="14"/>
  <c r="K125" i="14" s="1"/>
  <c r="AD125" i="14" s="1"/>
  <c r="S126" i="17" s="1"/>
  <c r="I126" i="14"/>
  <c r="A126" i="14"/>
  <c r="D126" i="14"/>
  <c r="B126" i="14"/>
  <c r="C126" i="14"/>
  <c r="L124" i="14"/>
  <c r="L54" i="15"/>
  <c r="J52" i="15"/>
  <c r="K54" i="15"/>
  <c r="I54" i="15"/>
  <c r="H55" i="15"/>
  <c r="N126" i="14"/>
  <c r="C127" i="17" s="1"/>
  <c r="O126" i="14"/>
  <c r="D127" i="17" s="1"/>
  <c r="M127" i="14"/>
  <c r="P126" i="14"/>
  <c r="E127" i="17" s="1"/>
  <c r="J124" i="17" l="1"/>
  <c r="Q124" i="14"/>
  <c r="F125" i="17" s="1"/>
  <c r="L125" i="17"/>
  <c r="H125" i="17"/>
  <c r="AA124" i="14"/>
  <c r="P125" i="17" s="1"/>
  <c r="Y124" i="14"/>
  <c r="N125" i="17" s="1"/>
  <c r="F125" i="14"/>
  <c r="H125" i="14"/>
  <c r="A125" i="17"/>
  <c r="Z124" i="14"/>
  <c r="O125" i="17" s="1"/>
  <c r="B128" i="17"/>
  <c r="G127" i="14"/>
  <c r="M56" i="15" s="1"/>
  <c r="AC125" i="14"/>
  <c r="R126" i="17" s="1"/>
  <c r="AB125" i="14"/>
  <c r="Q126" i="17" s="1"/>
  <c r="L125" i="14"/>
  <c r="J126" i="14"/>
  <c r="K126" i="14" s="1"/>
  <c r="AD126" i="14" s="1"/>
  <c r="S127" i="17" s="1"/>
  <c r="I127" i="14"/>
  <c r="C127" i="14"/>
  <c r="B127" i="14"/>
  <c r="D127" i="14"/>
  <c r="A127" i="14"/>
  <c r="E126" i="14"/>
  <c r="K55" i="15"/>
  <c r="L55" i="15"/>
  <c r="J53" i="15"/>
  <c r="N127" i="14"/>
  <c r="C128" i="17" s="1"/>
  <c r="H56" i="15"/>
  <c r="P127" i="14"/>
  <c r="E128" i="17" s="1"/>
  <c r="M128" i="14"/>
  <c r="O127" i="14"/>
  <c r="D128" i="17" s="1"/>
  <c r="I55" i="15"/>
  <c r="Q125" i="14" l="1"/>
  <c r="F126" i="17" s="1"/>
  <c r="L126" i="17"/>
  <c r="H126" i="17"/>
  <c r="J125" i="17"/>
  <c r="AA125" i="14"/>
  <c r="P126" i="17" s="1"/>
  <c r="Y125" i="14"/>
  <c r="N126" i="17" s="1"/>
  <c r="F126" i="14"/>
  <c r="H126" i="14"/>
  <c r="A126" i="17"/>
  <c r="Z125" i="14"/>
  <c r="O126" i="17" s="1"/>
  <c r="AC126" i="14"/>
  <c r="R127" i="17" s="1"/>
  <c r="AB126" i="14"/>
  <c r="Q127" i="17" s="1"/>
  <c r="B129" i="17"/>
  <c r="G128" i="14"/>
  <c r="M57" i="15" s="1"/>
  <c r="L126" i="14"/>
  <c r="J127" i="14"/>
  <c r="K127" i="14" s="1"/>
  <c r="AD127" i="14" s="1"/>
  <c r="S128" i="17" s="1"/>
  <c r="C128" i="14"/>
  <c r="I128" i="14"/>
  <c r="B128" i="14"/>
  <c r="D128" i="14"/>
  <c r="A128" i="14"/>
  <c r="E127" i="14"/>
  <c r="J54" i="15"/>
  <c r="K56" i="15"/>
  <c r="L56" i="15"/>
  <c r="N128" i="14"/>
  <c r="C129" i="17" s="1"/>
  <c r="P128" i="14"/>
  <c r="E129" i="17" s="1"/>
  <c r="O128" i="14"/>
  <c r="D129" i="17" s="1"/>
  <c r="H57" i="15"/>
  <c r="M129" i="14"/>
  <c r="I56" i="15"/>
  <c r="Q126" i="14" l="1"/>
  <c r="F127" i="17" s="1"/>
  <c r="L127" i="17"/>
  <c r="H127" i="17"/>
  <c r="J126" i="17"/>
  <c r="F127" i="14"/>
  <c r="H127" i="14"/>
  <c r="AA126" i="14"/>
  <c r="P127" i="17" s="1"/>
  <c r="Y126" i="14"/>
  <c r="N127" i="17" s="1"/>
  <c r="A127" i="17"/>
  <c r="Z126" i="14"/>
  <c r="O127" i="17" s="1"/>
  <c r="B130" i="17"/>
  <c r="G129" i="14"/>
  <c r="M58" i="15" s="1"/>
  <c r="L127" i="14"/>
  <c r="AC127" i="14"/>
  <c r="R128" i="17" s="1"/>
  <c r="AB127" i="14"/>
  <c r="Q128" i="17" s="1"/>
  <c r="E128" i="14"/>
  <c r="J128" i="14"/>
  <c r="K128" i="14" s="1"/>
  <c r="AD128" i="14" s="1"/>
  <c r="S129" i="17" s="1"/>
  <c r="D129" i="14"/>
  <c r="C129" i="14"/>
  <c r="I129" i="14"/>
  <c r="B129" i="14"/>
  <c r="A129" i="14"/>
  <c r="J55" i="15"/>
  <c r="K57" i="15"/>
  <c r="L57" i="15"/>
  <c r="I57" i="15"/>
  <c r="M130" i="14"/>
  <c r="O129" i="14"/>
  <c r="D130" i="17" s="1"/>
  <c r="P129" i="14"/>
  <c r="E130" i="17" s="1"/>
  <c r="N129" i="14"/>
  <c r="C130" i="17" s="1"/>
  <c r="H58" i="15"/>
  <c r="Q127" i="14" l="1"/>
  <c r="F128" i="17" s="1"/>
  <c r="W127" i="14"/>
  <c r="L128" i="17" s="1"/>
  <c r="U127" i="14"/>
  <c r="J128" i="17" s="1"/>
  <c r="S127" i="14"/>
  <c r="H128" i="17" s="1"/>
  <c r="AA127" i="14"/>
  <c r="P128" i="17" s="1"/>
  <c r="Y127" i="14"/>
  <c r="N128" i="17" s="1"/>
  <c r="J127" i="17"/>
  <c r="F128" i="14"/>
  <c r="H128" i="14"/>
  <c r="A128" i="17"/>
  <c r="Z127" i="14"/>
  <c r="O128" i="17" s="1"/>
  <c r="AB128" i="14"/>
  <c r="Q129" i="17" s="1"/>
  <c r="AC128" i="14"/>
  <c r="R129" i="17" s="1"/>
  <c r="B131" i="17"/>
  <c r="G130" i="14"/>
  <c r="M59" i="15" s="1"/>
  <c r="E129" i="14"/>
  <c r="J129" i="14"/>
  <c r="K129" i="14" s="1"/>
  <c r="AD129" i="14" s="1"/>
  <c r="S130" i="17" s="1"/>
  <c r="B130" i="14"/>
  <c r="I130" i="14"/>
  <c r="A130" i="14"/>
  <c r="D130" i="14"/>
  <c r="C130" i="14"/>
  <c r="L128" i="14"/>
  <c r="J56" i="15"/>
  <c r="K58" i="15"/>
  <c r="L58" i="15"/>
  <c r="I58" i="15"/>
  <c r="M131" i="14"/>
  <c r="O130" i="14"/>
  <c r="D131" i="17" s="1"/>
  <c r="P130" i="14"/>
  <c r="E131" i="17" s="1"/>
  <c r="H59" i="15"/>
  <c r="N130" i="14"/>
  <c r="C131" i="17" s="1"/>
  <c r="Q128" i="14" l="1"/>
  <c r="F129" i="17" s="1"/>
  <c r="L129" i="17"/>
  <c r="AA128" i="14"/>
  <c r="P129" i="17" s="1"/>
  <c r="Y128" i="14"/>
  <c r="N129" i="17" s="1"/>
  <c r="F129" i="14"/>
  <c r="H129" i="14"/>
  <c r="A129" i="17"/>
  <c r="Z128" i="14"/>
  <c r="O129" i="17" s="1"/>
  <c r="B132" i="17"/>
  <c r="G131" i="14"/>
  <c r="M60" i="15" s="1"/>
  <c r="AC129" i="14"/>
  <c r="R130" i="17" s="1"/>
  <c r="AB129" i="14"/>
  <c r="Q130" i="17" s="1"/>
  <c r="L129" i="14"/>
  <c r="E130" i="14"/>
  <c r="J130" i="14"/>
  <c r="K130" i="14" s="1"/>
  <c r="AD130" i="14" s="1"/>
  <c r="S131" i="17" s="1"/>
  <c r="D131" i="14"/>
  <c r="C131" i="14"/>
  <c r="B131" i="14"/>
  <c r="A131" i="14"/>
  <c r="I131" i="14"/>
  <c r="J57" i="15"/>
  <c r="L59" i="15"/>
  <c r="K59" i="15"/>
  <c r="I59" i="15"/>
  <c r="O131" i="14"/>
  <c r="D132" i="17" s="1"/>
  <c r="M132" i="14"/>
  <c r="H60" i="15"/>
  <c r="N131" i="14"/>
  <c r="C132" i="17" s="1"/>
  <c r="P131" i="14"/>
  <c r="E132" i="17" s="1"/>
  <c r="H129" i="17" l="1"/>
  <c r="Q129" i="14"/>
  <c r="F130" i="17" s="1"/>
  <c r="L130" i="17"/>
  <c r="AA129" i="14"/>
  <c r="P130" i="17" s="1"/>
  <c r="Y129" i="14"/>
  <c r="N130" i="17" s="1"/>
  <c r="F130" i="14"/>
  <c r="H130" i="14"/>
  <c r="A130" i="17"/>
  <c r="Z129" i="14"/>
  <c r="O130" i="17" s="1"/>
  <c r="AC130" i="14"/>
  <c r="R131" i="17" s="1"/>
  <c r="AB130" i="14"/>
  <c r="Q131" i="17" s="1"/>
  <c r="B133" i="17"/>
  <c r="G132" i="14"/>
  <c r="M61" i="15" s="1"/>
  <c r="J129" i="17"/>
  <c r="L130" i="14"/>
  <c r="J131" i="14"/>
  <c r="K131" i="14" s="1"/>
  <c r="AD131" i="14" s="1"/>
  <c r="S132" i="17" s="1"/>
  <c r="B132" i="14"/>
  <c r="I132" i="14"/>
  <c r="A132" i="14"/>
  <c r="C132" i="14"/>
  <c r="D132" i="14"/>
  <c r="E131" i="14"/>
  <c r="K60" i="15"/>
  <c r="J58" i="15"/>
  <c r="L60" i="15"/>
  <c r="I60" i="15"/>
  <c r="P132" i="14"/>
  <c r="E133" i="17" s="1"/>
  <c r="H61" i="15"/>
  <c r="O132" i="14"/>
  <c r="D133" i="17" s="1"/>
  <c r="M133" i="14"/>
  <c r="N132" i="14"/>
  <c r="C133" i="17" s="1"/>
  <c r="H130" i="17" l="1"/>
  <c r="Q130" i="14"/>
  <c r="F131" i="17" s="1"/>
  <c r="L131" i="17"/>
  <c r="H131" i="17"/>
  <c r="AA130" i="14"/>
  <c r="P131" i="17" s="1"/>
  <c r="Y130" i="14"/>
  <c r="N131" i="17" s="1"/>
  <c r="F131" i="14"/>
  <c r="H131" i="14"/>
  <c r="A131" i="17"/>
  <c r="Z130" i="14"/>
  <c r="O131" i="17" s="1"/>
  <c r="B134" i="17"/>
  <c r="G133" i="14"/>
  <c r="M62" i="15" s="1"/>
  <c r="L131" i="14"/>
  <c r="AC131" i="14"/>
  <c r="R132" i="17" s="1"/>
  <c r="AB131" i="14"/>
  <c r="Q132" i="17" s="1"/>
  <c r="J130" i="17"/>
  <c r="J132" i="14"/>
  <c r="K132" i="14" s="1"/>
  <c r="AD132" i="14" s="1"/>
  <c r="S133" i="17" s="1"/>
  <c r="D133" i="14"/>
  <c r="C133" i="14"/>
  <c r="B133" i="14"/>
  <c r="A133" i="14"/>
  <c r="I133" i="14"/>
  <c r="E132" i="14"/>
  <c r="K61" i="15"/>
  <c r="J59" i="15"/>
  <c r="L61" i="15"/>
  <c r="I61" i="15"/>
  <c r="N133" i="14"/>
  <c r="C134" i="17" s="1"/>
  <c r="P133" i="14"/>
  <c r="E134" i="17" s="1"/>
  <c r="M134" i="14"/>
  <c r="H62" i="15"/>
  <c r="O133" i="14"/>
  <c r="D134" i="17" s="1"/>
  <c r="J131" i="17" l="1"/>
  <c r="Q131" i="14"/>
  <c r="F132" i="17" s="1"/>
  <c r="L132" i="17"/>
  <c r="H132" i="17"/>
  <c r="F132" i="14"/>
  <c r="H132" i="14"/>
  <c r="AA131" i="14"/>
  <c r="P132" i="17" s="1"/>
  <c r="Y131" i="14"/>
  <c r="N132" i="17" s="1"/>
  <c r="A132" i="17"/>
  <c r="Z131" i="14"/>
  <c r="O132" i="17" s="1"/>
  <c r="B135" i="17"/>
  <c r="G134" i="14"/>
  <c r="M63" i="15" s="1"/>
  <c r="L132" i="14"/>
  <c r="AB132" i="14"/>
  <c r="Q133" i="17" s="1"/>
  <c r="AC132" i="14"/>
  <c r="R133" i="17" s="1"/>
  <c r="I134" i="14"/>
  <c r="A134" i="14"/>
  <c r="D134" i="14"/>
  <c r="C134" i="14"/>
  <c r="B134" i="14"/>
  <c r="E133" i="14"/>
  <c r="J133" i="14"/>
  <c r="K133" i="14" s="1"/>
  <c r="AD133" i="14" s="1"/>
  <c r="S134" i="17" s="1"/>
  <c r="K62" i="15"/>
  <c r="J60" i="15"/>
  <c r="L62" i="15"/>
  <c r="I62" i="15"/>
  <c r="H63" i="15"/>
  <c r="P134" i="14"/>
  <c r="E135" i="17" s="1"/>
  <c r="N134" i="14"/>
  <c r="C135" i="17" s="1"/>
  <c r="M135" i="14"/>
  <c r="O134" i="14"/>
  <c r="D135" i="17" s="1"/>
  <c r="Q132" i="14" l="1"/>
  <c r="F133" i="17" s="1"/>
  <c r="L133" i="17"/>
  <c r="H133" i="17"/>
  <c r="J132" i="17"/>
  <c r="AA132" i="14"/>
  <c r="P133" i="17" s="1"/>
  <c r="Y132" i="14"/>
  <c r="N133" i="17" s="1"/>
  <c r="F133" i="14"/>
  <c r="H133" i="14"/>
  <c r="A133" i="17"/>
  <c r="Z132" i="14"/>
  <c r="O133" i="17" s="1"/>
  <c r="AC133" i="14"/>
  <c r="R134" i="17" s="1"/>
  <c r="AB133" i="14"/>
  <c r="Q134" i="17" s="1"/>
  <c r="B136" i="17"/>
  <c r="G135" i="14"/>
  <c r="M64" i="15" s="1"/>
  <c r="L133" i="14"/>
  <c r="C135" i="14"/>
  <c r="B135" i="14"/>
  <c r="I135" i="14"/>
  <c r="A135" i="14"/>
  <c r="D135" i="14"/>
  <c r="J134" i="14"/>
  <c r="K134" i="14" s="1"/>
  <c r="AD134" i="14" s="1"/>
  <c r="S135" i="17" s="1"/>
  <c r="E134" i="14"/>
  <c r="J61" i="15"/>
  <c r="K63" i="15"/>
  <c r="L63" i="15"/>
  <c r="N135" i="14"/>
  <c r="C136" i="17" s="1"/>
  <c r="M136" i="14"/>
  <c r="P135" i="14"/>
  <c r="E136" i="17" s="1"/>
  <c r="H64" i="15"/>
  <c r="O135" i="14"/>
  <c r="D136" i="17" s="1"/>
  <c r="I63" i="15"/>
  <c r="Q133" i="14" l="1"/>
  <c r="F134" i="17" s="1"/>
  <c r="W133" i="14"/>
  <c r="L134" i="17" s="1"/>
  <c r="S133" i="14"/>
  <c r="H134" i="17" s="1"/>
  <c r="J133" i="17"/>
  <c r="F134" i="14"/>
  <c r="H134" i="14"/>
  <c r="AA133" i="14"/>
  <c r="P134" i="17" s="1"/>
  <c r="Y133" i="14"/>
  <c r="N134" i="17" s="1"/>
  <c r="A134" i="17"/>
  <c r="Z133" i="14"/>
  <c r="O134" i="17" s="1"/>
  <c r="B137" i="17"/>
  <c r="G136" i="14"/>
  <c r="M65" i="15" s="1"/>
  <c r="AC134" i="14"/>
  <c r="R135" i="17" s="1"/>
  <c r="AB134" i="14"/>
  <c r="Q135" i="17" s="1"/>
  <c r="L134" i="14"/>
  <c r="J135" i="14"/>
  <c r="K135" i="14" s="1"/>
  <c r="AD135" i="14" s="1"/>
  <c r="S136" i="17" s="1"/>
  <c r="E135" i="14"/>
  <c r="I136" i="14"/>
  <c r="A136" i="14"/>
  <c r="D136" i="14"/>
  <c r="B136" i="14"/>
  <c r="C136" i="14"/>
  <c r="K64" i="15"/>
  <c r="J62" i="15"/>
  <c r="L64" i="15"/>
  <c r="I64" i="15"/>
  <c r="P136" i="14"/>
  <c r="E137" i="17" s="1"/>
  <c r="N136" i="14"/>
  <c r="C137" i="17" s="1"/>
  <c r="H65" i="15"/>
  <c r="M139" i="14"/>
  <c r="O136" i="14"/>
  <c r="D137" i="17" s="1"/>
  <c r="Q134" i="14" l="1"/>
  <c r="L135" i="17"/>
  <c r="Y134" i="14"/>
  <c r="N135" i="17" s="1"/>
  <c r="AA134" i="14"/>
  <c r="P135" i="17" s="1"/>
  <c r="U133" i="14"/>
  <c r="J134" i="17" s="1"/>
  <c r="F135" i="14"/>
  <c r="H135" i="14"/>
  <c r="A135" i="17"/>
  <c r="Z134" i="14"/>
  <c r="O135" i="17" s="1"/>
  <c r="B140" i="17"/>
  <c r="G139" i="14"/>
  <c r="T4" i="15" s="1"/>
  <c r="L135" i="14"/>
  <c r="AC135" i="14"/>
  <c r="R136" i="17" s="1"/>
  <c r="AB135" i="14"/>
  <c r="Q136" i="17" s="1"/>
  <c r="C139" i="14"/>
  <c r="B139" i="14"/>
  <c r="D139" i="14"/>
  <c r="A139" i="14"/>
  <c r="I139" i="14"/>
  <c r="E136" i="14"/>
  <c r="F135" i="17"/>
  <c r="J136" i="14"/>
  <c r="K136" i="14" s="1"/>
  <c r="AD136" i="14" s="1"/>
  <c r="S137" i="17" s="1"/>
  <c r="K65" i="15"/>
  <c r="L65" i="15"/>
  <c r="J63" i="15"/>
  <c r="I65" i="15"/>
  <c r="O4" i="15"/>
  <c r="N139" i="14"/>
  <c r="C140" i="17" s="1"/>
  <c r="P139" i="14"/>
  <c r="E140" i="17" s="1"/>
  <c r="M140" i="14"/>
  <c r="O139" i="14"/>
  <c r="D140" i="17" s="1"/>
  <c r="Q135" i="14" l="1"/>
  <c r="F136" i="17" s="1"/>
  <c r="L136" i="17"/>
  <c r="J136" i="17"/>
  <c r="F136" i="14"/>
  <c r="H136" i="14"/>
  <c r="AA135" i="14"/>
  <c r="P136" i="17" s="1"/>
  <c r="Y135" i="14"/>
  <c r="N136" i="17" s="1"/>
  <c r="A136" i="17"/>
  <c r="Z135" i="14"/>
  <c r="O136" i="17" s="1"/>
  <c r="AB136" i="14"/>
  <c r="Q137" i="17" s="1"/>
  <c r="AC136" i="14"/>
  <c r="R137" i="17" s="1"/>
  <c r="B141" i="17"/>
  <c r="G140" i="14"/>
  <c r="T5" i="15" s="1"/>
  <c r="J135" i="17"/>
  <c r="H135" i="17"/>
  <c r="L136" i="14"/>
  <c r="A140" i="14"/>
  <c r="D140" i="14"/>
  <c r="I140" i="14"/>
  <c r="C140" i="14"/>
  <c r="B140" i="14"/>
  <c r="J139" i="14"/>
  <c r="K139" i="14" s="1"/>
  <c r="AD139" i="14" s="1"/>
  <c r="S140" i="17" s="1"/>
  <c r="E139" i="14"/>
  <c r="S4" i="15"/>
  <c r="J64" i="15"/>
  <c r="R4" i="15"/>
  <c r="P4" i="15"/>
  <c r="O5" i="15"/>
  <c r="N140" i="14"/>
  <c r="C141" i="17" s="1"/>
  <c r="M141" i="14"/>
  <c r="O140" i="14"/>
  <c r="D141" i="17" s="1"/>
  <c r="P140" i="14"/>
  <c r="E141" i="17" s="1"/>
  <c r="Q136" i="14" l="1"/>
  <c r="F137" i="17" s="1"/>
  <c r="F138" i="17" s="1"/>
  <c r="L137" i="17"/>
  <c r="F139" i="14"/>
  <c r="H139" i="14"/>
  <c r="AA136" i="14"/>
  <c r="Y136" i="14"/>
  <c r="N137" i="17" s="1"/>
  <c r="A137" i="17"/>
  <c r="Z136" i="14"/>
  <c r="O137" i="17" s="1"/>
  <c r="H136" i="17"/>
  <c r="L139" i="14"/>
  <c r="AC139" i="14"/>
  <c r="R140" i="17" s="1"/>
  <c r="AB139" i="14"/>
  <c r="Q140" i="17" s="1"/>
  <c r="B142" i="17"/>
  <c r="G141" i="14"/>
  <c r="T6" i="15" s="1"/>
  <c r="B141" i="14"/>
  <c r="I141" i="14"/>
  <c r="A141" i="14"/>
  <c r="D141" i="14"/>
  <c r="C141" i="14"/>
  <c r="J140" i="14"/>
  <c r="K140" i="14" s="1"/>
  <c r="AD140" i="14" s="1"/>
  <c r="S141" i="17" s="1"/>
  <c r="P137" i="17"/>
  <c r="E140" i="14"/>
  <c r="S5" i="15"/>
  <c r="J65" i="15"/>
  <c r="R5" i="15"/>
  <c r="O6" i="15"/>
  <c r="O141" i="14"/>
  <c r="D142" i="17" s="1"/>
  <c r="N141" i="14"/>
  <c r="C142" i="17" s="1"/>
  <c r="M142" i="14"/>
  <c r="P141" i="14"/>
  <c r="E142" i="17" s="1"/>
  <c r="P5" i="15"/>
  <c r="H137" i="17" l="1"/>
  <c r="Q139" i="14"/>
  <c r="F140" i="17" s="1"/>
  <c r="L140" i="17"/>
  <c r="H140" i="17"/>
  <c r="F140" i="14"/>
  <c r="H140" i="14"/>
  <c r="AA139" i="14"/>
  <c r="P140" i="17" s="1"/>
  <c r="Y139" i="14"/>
  <c r="N140" i="17" s="1"/>
  <c r="A140" i="17"/>
  <c r="Z139" i="14"/>
  <c r="O140" i="17" s="1"/>
  <c r="AC140" i="14"/>
  <c r="R141" i="17" s="1"/>
  <c r="AB140" i="14"/>
  <c r="Q141" i="17" s="1"/>
  <c r="B143" i="17"/>
  <c r="G142" i="14"/>
  <c r="T7" i="15" s="1"/>
  <c r="J137" i="17"/>
  <c r="AA408" i="17"/>
  <c r="D142" i="14"/>
  <c r="C142" i="14"/>
  <c r="B142" i="14"/>
  <c r="A142" i="14"/>
  <c r="I142" i="14"/>
  <c r="J141" i="14"/>
  <c r="K141" i="14" s="1"/>
  <c r="AD141" i="14" s="1"/>
  <c r="S142" i="17" s="1"/>
  <c r="L140" i="14"/>
  <c r="E141" i="14"/>
  <c r="Q4" i="15"/>
  <c r="R6" i="15"/>
  <c r="S6" i="15"/>
  <c r="O142" i="14"/>
  <c r="D143" i="17" s="1"/>
  <c r="M143" i="14"/>
  <c r="N142" i="14"/>
  <c r="C143" i="17" s="1"/>
  <c r="O7" i="15"/>
  <c r="P142" i="14"/>
  <c r="E143" i="17" s="1"/>
  <c r="P6" i="15"/>
  <c r="J140" i="17" l="1"/>
  <c r="Q140" i="14"/>
  <c r="F141" i="17" s="1"/>
  <c r="L141" i="17"/>
  <c r="H141" i="17"/>
  <c r="AA140" i="14"/>
  <c r="P141" i="17" s="1"/>
  <c r="Y140" i="14"/>
  <c r="N141" i="17" s="1"/>
  <c r="F141" i="14"/>
  <c r="H141" i="14"/>
  <c r="A141" i="17"/>
  <c r="Z140" i="14"/>
  <c r="O141" i="17" s="1"/>
  <c r="B144" i="17"/>
  <c r="G143" i="14"/>
  <c r="T8" i="15" s="1"/>
  <c r="AC141" i="14"/>
  <c r="R142" i="17" s="1"/>
  <c r="AB141" i="14"/>
  <c r="Q142" i="17" s="1"/>
  <c r="L141" i="14"/>
  <c r="J142" i="14"/>
  <c r="K142" i="14" s="1"/>
  <c r="AD142" i="14" s="1"/>
  <c r="S143" i="17" s="1"/>
  <c r="B143" i="14"/>
  <c r="A143" i="14"/>
  <c r="C143" i="14"/>
  <c r="D143" i="14"/>
  <c r="I143" i="14"/>
  <c r="E142" i="14"/>
  <c r="S7" i="15"/>
  <c r="Q5" i="15"/>
  <c r="R7" i="15"/>
  <c r="N143" i="14"/>
  <c r="C144" i="17" s="1"/>
  <c r="M144" i="14"/>
  <c r="O143" i="14"/>
  <c r="D144" i="17" s="1"/>
  <c r="P143" i="14"/>
  <c r="E144" i="17" s="1"/>
  <c r="O8" i="15"/>
  <c r="P7" i="15"/>
  <c r="Z124" i="17" l="1"/>
  <c r="AC124" i="17"/>
  <c r="AC125" i="17" s="1"/>
  <c r="AA124" i="17"/>
  <c r="AB408" i="17" s="1"/>
  <c r="J141" i="17"/>
  <c r="Q141" i="14"/>
  <c r="F142" i="17" s="1"/>
  <c r="L142" i="17"/>
  <c r="H142" i="17"/>
  <c r="AA141" i="14"/>
  <c r="P142" i="17" s="1"/>
  <c r="Y141" i="14"/>
  <c r="N142" i="17" s="1"/>
  <c r="F142" i="14"/>
  <c r="H142" i="14"/>
  <c r="A142" i="17"/>
  <c r="Z141" i="14"/>
  <c r="O142" i="17" s="1"/>
  <c r="AB142" i="14"/>
  <c r="Q143" i="17" s="1"/>
  <c r="AC142" i="14"/>
  <c r="R143" i="17" s="1"/>
  <c r="B145" i="17"/>
  <c r="G144" i="14"/>
  <c r="T9" i="15" s="1"/>
  <c r="L142" i="14"/>
  <c r="B144" i="14"/>
  <c r="I144" i="14"/>
  <c r="A144" i="14"/>
  <c r="C144" i="14"/>
  <c r="D144" i="14"/>
  <c r="E143" i="14"/>
  <c r="J143" i="14"/>
  <c r="K143" i="14" s="1"/>
  <c r="AD143" i="14" s="1"/>
  <c r="S144" i="17" s="1"/>
  <c r="Q6" i="15"/>
  <c r="R8" i="15"/>
  <c r="S8" i="15"/>
  <c r="P8" i="15"/>
  <c r="O9" i="15"/>
  <c r="M145" i="14"/>
  <c r="N144" i="14"/>
  <c r="C145" i="17" s="1"/>
  <c r="P144" i="14"/>
  <c r="E145" i="17" s="1"/>
  <c r="O144" i="14"/>
  <c r="D145" i="17" s="1"/>
  <c r="J142" i="17" l="1"/>
  <c r="Q142" i="14"/>
  <c r="F143" i="17" s="1"/>
  <c r="W142" i="14"/>
  <c r="L143" i="17" s="1"/>
  <c r="S142" i="14"/>
  <c r="H143" i="17" s="1"/>
  <c r="F143" i="14"/>
  <c r="H143" i="14"/>
  <c r="AA142" i="14"/>
  <c r="P143" i="17" s="1"/>
  <c r="Y142" i="14"/>
  <c r="N143" i="17" s="1"/>
  <c r="A143" i="17"/>
  <c r="Z142" i="14"/>
  <c r="O143" i="17" s="1"/>
  <c r="B146" i="17"/>
  <c r="G145" i="14"/>
  <c r="T10" i="15" s="1"/>
  <c r="AC143" i="14"/>
  <c r="R144" i="17" s="1"/>
  <c r="AB143" i="14"/>
  <c r="Q144" i="17" s="1"/>
  <c r="AC408" i="17"/>
  <c r="L143" i="14"/>
  <c r="E144" i="14"/>
  <c r="J144" i="14"/>
  <c r="K144" i="14" s="1"/>
  <c r="AD144" i="14" s="1"/>
  <c r="S145" i="17" s="1"/>
  <c r="D145" i="14"/>
  <c r="C145" i="14"/>
  <c r="I145" i="14"/>
  <c r="B145" i="14"/>
  <c r="A145" i="14"/>
  <c r="S9" i="15"/>
  <c r="Q7" i="15"/>
  <c r="R9" i="15"/>
  <c r="O10" i="15"/>
  <c r="N145" i="14"/>
  <c r="C146" i="17" s="1"/>
  <c r="O145" i="14"/>
  <c r="D146" i="17" s="1"/>
  <c r="M146" i="14"/>
  <c r="P145" i="14"/>
  <c r="E146" i="17" s="1"/>
  <c r="P9" i="15"/>
  <c r="Q143" i="14" l="1"/>
  <c r="F144" i="17" s="1"/>
  <c r="L144" i="17"/>
  <c r="Y143" i="14"/>
  <c r="N144" i="17" s="1"/>
  <c r="AA143" i="14"/>
  <c r="P144" i="17" s="1"/>
  <c r="U142" i="14"/>
  <c r="J143" i="17" s="1"/>
  <c r="F144" i="14"/>
  <c r="H144" i="14"/>
  <c r="A144" i="17"/>
  <c r="Z143" i="14"/>
  <c r="O144" i="17" s="1"/>
  <c r="B147" i="17"/>
  <c r="G146" i="14"/>
  <c r="T11" i="15" s="1"/>
  <c r="L144" i="14"/>
  <c r="AC144" i="14"/>
  <c r="R145" i="17" s="1"/>
  <c r="AB144" i="14"/>
  <c r="Q145" i="17" s="1"/>
  <c r="I146" i="14"/>
  <c r="B146" i="14"/>
  <c r="A146" i="14"/>
  <c r="D146" i="14"/>
  <c r="C146" i="14"/>
  <c r="J145" i="14"/>
  <c r="K145" i="14" s="1"/>
  <c r="AD145" i="14" s="1"/>
  <c r="S146" i="17" s="1"/>
  <c r="E145" i="14"/>
  <c r="S10" i="15"/>
  <c r="R10" i="15"/>
  <c r="Q8" i="15"/>
  <c r="O11" i="15"/>
  <c r="M147" i="14"/>
  <c r="N146" i="14"/>
  <c r="C147" i="17" s="1"/>
  <c r="O146" i="14"/>
  <c r="D147" i="17" s="1"/>
  <c r="P146" i="14"/>
  <c r="E147" i="17" s="1"/>
  <c r="P10" i="15"/>
  <c r="L145" i="17" l="1"/>
  <c r="J145" i="17"/>
  <c r="F145" i="14"/>
  <c r="H145" i="14"/>
  <c r="AA144" i="14"/>
  <c r="P145" i="17" s="1"/>
  <c r="Y144" i="14"/>
  <c r="N145" i="17" s="1"/>
  <c r="Q144" i="14"/>
  <c r="F145" i="17" s="1"/>
  <c r="A145" i="17"/>
  <c r="Z144" i="14"/>
  <c r="O145" i="17" s="1"/>
  <c r="B148" i="17"/>
  <c r="G147" i="14"/>
  <c r="T12" i="15" s="1"/>
  <c r="L145" i="14"/>
  <c r="AC145" i="14"/>
  <c r="R146" i="17" s="1"/>
  <c r="AB145" i="14"/>
  <c r="Q146" i="17" s="1"/>
  <c r="J144" i="17"/>
  <c r="H144" i="17"/>
  <c r="E146" i="14"/>
  <c r="C147" i="14"/>
  <c r="I147" i="14"/>
  <c r="B147" i="14"/>
  <c r="A147" i="14"/>
  <c r="D147" i="14"/>
  <c r="J146" i="14"/>
  <c r="K146" i="14" s="1"/>
  <c r="AD146" i="14" s="1"/>
  <c r="S147" i="17" s="1"/>
  <c r="Q9" i="15"/>
  <c r="S11" i="15"/>
  <c r="R11" i="15"/>
  <c r="P11" i="15"/>
  <c r="P147" i="14"/>
  <c r="E148" i="17" s="1"/>
  <c r="M148" i="14"/>
  <c r="O12" i="15"/>
  <c r="N147" i="14"/>
  <c r="C148" i="17" s="1"/>
  <c r="O147" i="14"/>
  <c r="D148" i="17" s="1"/>
  <c r="Q145" i="14" l="1"/>
  <c r="F146" i="17" s="1"/>
  <c r="L146" i="17"/>
  <c r="H146" i="17"/>
  <c r="AA145" i="14"/>
  <c r="P146" i="17" s="1"/>
  <c r="Y145" i="14"/>
  <c r="N146" i="17" s="1"/>
  <c r="F146" i="14"/>
  <c r="H146" i="14"/>
  <c r="H145" i="17"/>
  <c r="A146" i="17"/>
  <c r="Z145" i="14"/>
  <c r="O146" i="17" s="1"/>
  <c r="AB146" i="14"/>
  <c r="Q147" i="17" s="1"/>
  <c r="AC146" i="14"/>
  <c r="R147" i="17" s="1"/>
  <c r="B149" i="17"/>
  <c r="G148" i="14"/>
  <c r="T13" i="15" s="1"/>
  <c r="L146" i="14"/>
  <c r="E147" i="14"/>
  <c r="J147" i="14"/>
  <c r="K147" i="14" s="1"/>
  <c r="AD147" i="14" s="1"/>
  <c r="S148" i="17" s="1"/>
  <c r="D148" i="14"/>
  <c r="C148" i="14"/>
  <c r="A148" i="14"/>
  <c r="I148" i="14"/>
  <c r="B148" i="14"/>
  <c r="S12" i="15"/>
  <c r="Q10" i="15"/>
  <c r="R12" i="15"/>
  <c r="O13" i="15"/>
  <c r="M149" i="14"/>
  <c r="N148" i="14"/>
  <c r="C149" i="17" s="1"/>
  <c r="O148" i="14"/>
  <c r="D149" i="17" s="1"/>
  <c r="P148" i="14"/>
  <c r="E149" i="17" s="1"/>
  <c r="P12" i="15"/>
  <c r="J146" i="17" l="1"/>
  <c r="Q146" i="14"/>
  <c r="L147" i="17"/>
  <c r="H147" i="17"/>
  <c r="AA146" i="14"/>
  <c r="P147" i="17" s="1"/>
  <c r="Y146" i="14"/>
  <c r="N147" i="17" s="1"/>
  <c r="F147" i="14"/>
  <c r="H147" i="14"/>
  <c r="A147" i="17"/>
  <c r="Z146" i="14"/>
  <c r="O147" i="17" s="1"/>
  <c r="B150" i="17"/>
  <c r="G149" i="14"/>
  <c r="T14" i="15" s="1"/>
  <c r="AC147" i="14"/>
  <c r="R148" i="17" s="1"/>
  <c r="AB147" i="14"/>
  <c r="Q148" i="17" s="1"/>
  <c r="L147" i="14"/>
  <c r="E148" i="14"/>
  <c r="J148" i="14"/>
  <c r="K148" i="14" s="1"/>
  <c r="AD148" i="14" s="1"/>
  <c r="S149" i="17" s="1"/>
  <c r="F147" i="17"/>
  <c r="B149" i="14"/>
  <c r="I149" i="14"/>
  <c r="A149" i="14"/>
  <c r="C149" i="14"/>
  <c r="D149" i="14"/>
  <c r="Q11" i="15"/>
  <c r="S13" i="15"/>
  <c r="R13" i="15"/>
  <c r="P13" i="15"/>
  <c r="O14" i="15"/>
  <c r="M150" i="14"/>
  <c r="O149" i="14"/>
  <c r="D150" i="17" s="1"/>
  <c r="N149" i="14"/>
  <c r="C150" i="17" s="1"/>
  <c r="P149" i="14"/>
  <c r="E150" i="17" s="1"/>
  <c r="Q147" i="14" l="1"/>
  <c r="F148" i="17" s="1"/>
  <c r="L148" i="17"/>
  <c r="H148" i="17"/>
  <c r="J147" i="17"/>
  <c r="AA147" i="14"/>
  <c r="P148" i="17" s="1"/>
  <c r="Y147" i="14"/>
  <c r="N148" i="17" s="1"/>
  <c r="F148" i="14"/>
  <c r="H148" i="14"/>
  <c r="A148" i="17"/>
  <c r="Z147" i="14"/>
  <c r="O148" i="17" s="1"/>
  <c r="AC148" i="14"/>
  <c r="R149" i="17" s="1"/>
  <c r="AB148" i="14"/>
  <c r="Q149" i="17" s="1"/>
  <c r="B151" i="17"/>
  <c r="G150" i="14"/>
  <c r="T15" i="15" s="1"/>
  <c r="L148" i="14"/>
  <c r="J149" i="14"/>
  <c r="K149" i="14" s="1"/>
  <c r="AD149" i="14" s="1"/>
  <c r="S150" i="17" s="1"/>
  <c r="D150" i="14"/>
  <c r="C150" i="14"/>
  <c r="I150" i="14"/>
  <c r="B150" i="14"/>
  <c r="A150" i="14"/>
  <c r="E149" i="14"/>
  <c r="R14" i="15"/>
  <c r="Q12" i="15"/>
  <c r="S14" i="15"/>
  <c r="P14" i="15"/>
  <c r="O150" i="14"/>
  <c r="D151" i="17" s="1"/>
  <c r="M151" i="14"/>
  <c r="P150" i="14"/>
  <c r="E151" i="17" s="1"/>
  <c r="O15" i="15"/>
  <c r="N150" i="14"/>
  <c r="C151" i="17" s="1"/>
  <c r="J148" i="17" l="1"/>
  <c r="Q148" i="14"/>
  <c r="L149" i="17"/>
  <c r="H149" i="17"/>
  <c r="F149" i="14"/>
  <c r="H149" i="14"/>
  <c r="AA148" i="14"/>
  <c r="P149" i="17" s="1"/>
  <c r="Y148" i="14"/>
  <c r="N149" i="17" s="1"/>
  <c r="A149" i="17"/>
  <c r="Z148" i="14"/>
  <c r="O149" i="17" s="1"/>
  <c r="B152" i="17"/>
  <c r="G151" i="14"/>
  <c r="T16" i="15" s="1"/>
  <c r="L149" i="14"/>
  <c r="AC149" i="14"/>
  <c r="R150" i="17" s="1"/>
  <c r="AB149" i="14"/>
  <c r="Q150" i="17" s="1"/>
  <c r="E150" i="14"/>
  <c r="J150" i="14"/>
  <c r="K150" i="14" s="1"/>
  <c r="AD150" i="14" s="1"/>
  <c r="S151" i="17" s="1"/>
  <c r="F149" i="17"/>
  <c r="I151" i="14"/>
  <c r="A151" i="14"/>
  <c r="D151" i="14"/>
  <c r="C151" i="14"/>
  <c r="B151" i="14"/>
  <c r="R15" i="15"/>
  <c r="S15" i="15"/>
  <c r="Q13" i="15"/>
  <c r="P15" i="15"/>
  <c r="N151" i="14"/>
  <c r="C152" i="17" s="1"/>
  <c r="O16" i="15"/>
  <c r="O151" i="14"/>
  <c r="D152" i="17" s="1"/>
  <c r="P151" i="14"/>
  <c r="E152" i="17" s="1"/>
  <c r="M152" i="14"/>
  <c r="J149" i="17" l="1"/>
  <c r="Q149" i="14"/>
  <c r="F150" i="17" s="1"/>
  <c r="L150" i="17"/>
  <c r="H150" i="17"/>
  <c r="F150" i="14"/>
  <c r="H150" i="14"/>
  <c r="AA149" i="14"/>
  <c r="P150" i="17" s="1"/>
  <c r="Y149" i="14"/>
  <c r="N150" i="17" s="1"/>
  <c r="A150" i="17"/>
  <c r="Z149" i="14"/>
  <c r="O150" i="17" s="1"/>
  <c r="L150" i="14"/>
  <c r="AB150" i="14"/>
  <c r="Q151" i="17" s="1"/>
  <c r="AC150" i="14"/>
  <c r="R151" i="17" s="1"/>
  <c r="B153" i="17"/>
  <c r="G152" i="14"/>
  <c r="T17" i="15" s="1"/>
  <c r="C152" i="14"/>
  <c r="B152" i="14"/>
  <c r="A152" i="14"/>
  <c r="I152" i="14"/>
  <c r="D152" i="14"/>
  <c r="J151" i="14"/>
  <c r="K151" i="14" s="1"/>
  <c r="AD151" i="14" s="1"/>
  <c r="S152" i="17" s="1"/>
  <c r="E151" i="14"/>
  <c r="R16" i="15"/>
  <c r="S16" i="15"/>
  <c r="Q14" i="15"/>
  <c r="O152" i="14"/>
  <c r="D153" i="17" s="1"/>
  <c r="O17" i="15"/>
  <c r="P152" i="14"/>
  <c r="E153" i="17" s="1"/>
  <c r="N152" i="14"/>
  <c r="C153" i="17" s="1"/>
  <c r="M153" i="14"/>
  <c r="P16" i="15"/>
  <c r="J150" i="17" l="1"/>
  <c r="Q150" i="14"/>
  <c r="F151" i="17" s="1"/>
  <c r="W150" i="14"/>
  <c r="L151" i="17" s="1"/>
  <c r="S150" i="14"/>
  <c r="U150" i="14" s="1"/>
  <c r="J151" i="17" s="1"/>
  <c r="F151" i="14"/>
  <c r="H151" i="14"/>
  <c r="AA150" i="14"/>
  <c r="P151" i="17" s="1"/>
  <c r="Y150" i="14"/>
  <c r="N151" i="17" s="1"/>
  <c r="A151" i="17"/>
  <c r="Z150" i="14"/>
  <c r="O151" i="17" s="1"/>
  <c r="AC151" i="14"/>
  <c r="R152" i="17" s="1"/>
  <c r="AB151" i="14"/>
  <c r="Q152" i="17" s="1"/>
  <c r="B154" i="17"/>
  <c r="G153" i="14"/>
  <c r="T18" i="15" s="1"/>
  <c r="L151" i="14"/>
  <c r="E152" i="14"/>
  <c r="I153" i="14"/>
  <c r="A153" i="14"/>
  <c r="D153" i="14"/>
  <c r="C153" i="14"/>
  <c r="B153" i="14"/>
  <c r="J152" i="14"/>
  <c r="K152" i="14" s="1"/>
  <c r="AD152" i="14" s="1"/>
  <c r="S153" i="17" s="1"/>
  <c r="S17" i="15"/>
  <c r="R17" i="15"/>
  <c r="Q15" i="15"/>
  <c r="N153" i="14"/>
  <c r="C154" i="17" s="1"/>
  <c r="O18" i="15"/>
  <c r="M154" i="14"/>
  <c r="O153" i="14"/>
  <c r="D154" i="17" s="1"/>
  <c r="P153" i="14"/>
  <c r="E154" i="17" s="1"/>
  <c r="P17" i="15"/>
  <c r="Q151" i="14" l="1"/>
  <c r="F152" i="17" s="1"/>
  <c r="L152" i="17"/>
  <c r="H152" i="17"/>
  <c r="Y151" i="14"/>
  <c r="N152" i="17" s="1"/>
  <c r="AA151" i="14"/>
  <c r="P152" i="17" s="1"/>
  <c r="F152" i="14"/>
  <c r="H152" i="14"/>
  <c r="A152" i="17"/>
  <c r="Z151" i="14"/>
  <c r="O152" i="17" s="1"/>
  <c r="H151" i="17"/>
  <c r="B155" i="17"/>
  <c r="G154" i="14"/>
  <c r="T19" i="15" s="1"/>
  <c r="L152" i="14"/>
  <c r="AC152" i="14"/>
  <c r="R153" i="17" s="1"/>
  <c r="AB152" i="14"/>
  <c r="Q153" i="17" s="1"/>
  <c r="E153" i="14"/>
  <c r="C154" i="14"/>
  <c r="I154" i="14"/>
  <c r="B154" i="14"/>
  <c r="D154" i="14"/>
  <c r="A154" i="14"/>
  <c r="J153" i="14"/>
  <c r="K153" i="14" s="1"/>
  <c r="AD153" i="14" s="1"/>
  <c r="S154" i="17" s="1"/>
  <c r="Q16" i="15"/>
  <c r="S18" i="15"/>
  <c r="R18" i="15"/>
  <c r="P18" i="15"/>
  <c r="O19" i="15"/>
  <c r="N154" i="14"/>
  <c r="C155" i="17" s="1"/>
  <c r="M155" i="14"/>
  <c r="P154" i="14"/>
  <c r="E155" i="17" s="1"/>
  <c r="O154" i="14"/>
  <c r="D155" i="17" s="1"/>
  <c r="J152" i="17" l="1"/>
  <c r="L153" i="17"/>
  <c r="AA152" i="14"/>
  <c r="P153" i="17" s="1"/>
  <c r="Y152" i="14"/>
  <c r="N153" i="17" s="1"/>
  <c r="F153" i="14"/>
  <c r="H153" i="14"/>
  <c r="Q152" i="14"/>
  <c r="F153" i="17" s="1"/>
  <c r="A153" i="17"/>
  <c r="Z152" i="14"/>
  <c r="O153" i="17" s="1"/>
  <c r="AC153" i="14"/>
  <c r="R154" i="17" s="1"/>
  <c r="AB153" i="14"/>
  <c r="Q154" i="17" s="1"/>
  <c r="B156" i="17"/>
  <c r="G155" i="14"/>
  <c r="T20" i="15" s="1"/>
  <c r="L153" i="14"/>
  <c r="J154" i="14"/>
  <c r="K154" i="14" s="1"/>
  <c r="AD154" i="14" s="1"/>
  <c r="S155" i="17" s="1"/>
  <c r="E154" i="14"/>
  <c r="D155" i="14"/>
  <c r="C155" i="14"/>
  <c r="I155" i="14"/>
  <c r="B155" i="14"/>
  <c r="A155" i="14"/>
  <c r="Q17" i="15"/>
  <c r="R19" i="15"/>
  <c r="S19" i="15"/>
  <c r="N155" i="14"/>
  <c r="C156" i="17" s="1"/>
  <c r="O155" i="14"/>
  <c r="D156" i="17" s="1"/>
  <c r="O20" i="15"/>
  <c r="M156" i="14"/>
  <c r="P155" i="14"/>
  <c r="E156" i="17" s="1"/>
  <c r="P19" i="15"/>
  <c r="H153" i="17" l="1"/>
  <c r="Q153" i="14"/>
  <c r="F154" i="17" s="1"/>
  <c r="L154" i="17"/>
  <c r="H154" i="17"/>
  <c r="AA153" i="14"/>
  <c r="P154" i="17" s="1"/>
  <c r="Y153" i="14"/>
  <c r="N154" i="17" s="1"/>
  <c r="F154" i="14"/>
  <c r="H154" i="14"/>
  <c r="A154" i="17"/>
  <c r="Z153" i="14"/>
  <c r="O154" i="17" s="1"/>
  <c r="J153" i="17"/>
  <c r="B157" i="17"/>
  <c r="G156" i="14"/>
  <c r="T21" i="15" s="1"/>
  <c r="AB154" i="14"/>
  <c r="Q155" i="17" s="1"/>
  <c r="AC154" i="14"/>
  <c r="R155" i="17" s="1"/>
  <c r="L154" i="14"/>
  <c r="I156" i="14"/>
  <c r="A156" i="14"/>
  <c r="D156" i="14"/>
  <c r="C156" i="14"/>
  <c r="B156" i="14"/>
  <c r="J155" i="14"/>
  <c r="K155" i="14" s="1"/>
  <c r="AD155" i="14" s="1"/>
  <c r="S156" i="17" s="1"/>
  <c r="E155" i="14"/>
  <c r="S20" i="15"/>
  <c r="Q18" i="15"/>
  <c r="R20" i="15"/>
  <c r="O156" i="14"/>
  <c r="D157" i="17" s="1"/>
  <c r="P156" i="14"/>
  <c r="E157" i="17" s="1"/>
  <c r="N156" i="14"/>
  <c r="C157" i="17" s="1"/>
  <c r="M157" i="14"/>
  <c r="O21" i="15"/>
  <c r="P20" i="15"/>
  <c r="Q154" i="14" l="1"/>
  <c r="F155" i="17" s="1"/>
  <c r="L155" i="17"/>
  <c r="H155" i="17"/>
  <c r="J154" i="17"/>
  <c r="F155" i="14"/>
  <c r="H155" i="14"/>
  <c r="AA154" i="14"/>
  <c r="P155" i="17" s="1"/>
  <c r="Y154" i="14"/>
  <c r="N155" i="17" s="1"/>
  <c r="A155" i="17"/>
  <c r="Z154" i="14"/>
  <c r="O155" i="17" s="1"/>
  <c r="B158" i="17"/>
  <c r="G157" i="14"/>
  <c r="T22" i="15" s="1"/>
  <c r="AC155" i="14"/>
  <c r="R156" i="17" s="1"/>
  <c r="AB155" i="14"/>
  <c r="Q156" i="17" s="1"/>
  <c r="L155" i="14"/>
  <c r="C157" i="14"/>
  <c r="B157" i="14"/>
  <c r="A157" i="14"/>
  <c r="I157" i="14"/>
  <c r="D157" i="14"/>
  <c r="J156" i="14"/>
  <c r="K156" i="14" s="1"/>
  <c r="AD156" i="14" s="1"/>
  <c r="S157" i="17" s="1"/>
  <c r="E156" i="14"/>
  <c r="Q19" i="15"/>
  <c r="S21" i="15"/>
  <c r="R21" i="15"/>
  <c r="P21" i="15"/>
  <c r="P157" i="14"/>
  <c r="E158" i="17" s="1"/>
  <c r="O157" i="14"/>
  <c r="D158" i="17" s="1"/>
  <c r="O22" i="15"/>
  <c r="M158" i="14"/>
  <c r="N157" i="14"/>
  <c r="C158" i="17" s="1"/>
  <c r="Q155" i="14" l="1"/>
  <c r="F156" i="17" s="1"/>
  <c r="L156" i="17"/>
  <c r="H156" i="17"/>
  <c r="J155" i="17"/>
  <c r="F156" i="14"/>
  <c r="H156" i="14"/>
  <c r="AA155" i="14"/>
  <c r="P156" i="17" s="1"/>
  <c r="Y155" i="14"/>
  <c r="N156" i="17" s="1"/>
  <c r="A156" i="17"/>
  <c r="Z155" i="14"/>
  <c r="O156" i="17" s="1"/>
  <c r="AC156" i="14"/>
  <c r="R157" i="17" s="1"/>
  <c r="AB156" i="14"/>
  <c r="Q157" i="17" s="1"/>
  <c r="B159" i="17"/>
  <c r="G158" i="14"/>
  <c r="T23" i="15" s="1"/>
  <c r="L156" i="14"/>
  <c r="J157" i="14"/>
  <c r="K157" i="14" s="1"/>
  <c r="AD157" i="14" s="1"/>
  <c r="S158" i="17" s="1"/>
  <c r="A158" i="14"/>
  <c r="D158" i="14"/>
  <c r="C158" i="14"/>
  <c r="B158" i="14"/>
  <c r="I158" i="14"/>
  <c r="E157" i="14"/>
  <c r="S22" i="15"/>
  <c r="Q20" i="15"/>
  <c r="R22" i="15"/>
  <c r="N158" i="14"/>
  <c r="C159" i="17" s="1"/>
  <c r="O23" i="15"/>
  <c r="P158" i="14"/>
  <c r="E159" i="17" s="1"/>
  <c r="O158" i="14"/>
  <c r="D159" i="17" s="1"/>
  <c r="M159" i="14"/>
  <c r="P22" i="15"/>
  <c r="Q156" i="14" l="1"/>
  <c r="F157" i="17" s="1"/>
  <c r="W156" i="14"/>
  <c r="L157" i="17" s="1"/>
  <c r="S156" i="14"/>
  <c r="H157" i="17" s="1"/>
  <c r="F157" i="14"/>
  <c r="H157" i="14"/>
  <c r="AA156" i="14"/>
  <c r="P157" i="17" s="1"/>
  <c r="Y156" i="14"/>
  <c r="N157" i="17" s="1"/>
  <c r="A157" i="17"/>
  <c r="Z156" i="14"/>
  <c r="O157" i="17" s="1"/>
  <c r="L157" i="14"/>
  <c r="AC157" i="14"/>
  <c r="R158" i="17" s="1"/>
  <c r="AB157" i="14"/>
  <c r="Q158" i="17" s="1"/>
  <c r="B160" i="17"/>
  <c r="G159" i="14"/>
  <c r="T24" i="15" s="1"/>
  <c r="J156" i="17"/>
  <c r="E158" i="14"/>
  <c r="I159" i="14"/>
  <c r="B159" i="14"/>
  <c r="A159" i="14"/>
  <c r="D159" i="14"/>
  <c r="C159" i="14"/>
  <c r="J158" i="14"/>
  <c r="K158" i="14" s="1"/>
  <c r="AD158" i="14" s="1"/>
  <c r="S159" i="17" s="1"/>
  <c r="S23" i="15"/>
  <c r="Q21" i="15"/>
  <c r="R23" i="15"/>
  <c r="P159" i="14"/>
  <c r="E160" i="17" s="1"/>
  <c r="O24" i="15"/>
  <c r="N159" i="14"/>
  <c r="C160" i="17" s="1"/>
  <c r="O159" i="14"/>
  <c r="D160" i="17" s="1"/>
  <c r="M160" i="14"/>
  <c r="P23" i="15"/>
  <c r="Q157" i="14" l="1"/>
  <c r="F158" i="17" s="1"/>
  <c r="L158" i="17"/>
  <c r="H158" i="17"/>
  <c r="AA157" i="14"/>
  <c r="P158" i="17" s="1"/>
  <c r="Y157" i="14"/>
  <c r="N158" i="17" s="1"/>
  <c r="U156" i="14"/>
  <c r="J157" i="17" s="1"/>
  <c r="F158" i="14"/>
  <c r="H158" i="14"/>
  <c r="A158" i="17"/>
  <c r="Z157" i="14"/>
  <c r="O158" i="17" s="1"/>
  <c r="AB158" i="14"/>
  <c r="Q159" i="17" s="1"/>
  <c r="AC158" i="14"/>
  <c r="R159" i="17" s="1"/>
  <c r="B161" i="17"/>
  <c r="G160" i="14"/>
  <c r="T25" i="15" s="1"/>
  <c r="L158" i="14"/>
  <c r="J159" i="14"/>
  <c r="K159" i="14" s="1"/>
  <c r="AD159" i="14" s="1"/>
  <c r="S160" i="17" s="1"/>
  <c r="C160" i="14"/>
  <c r="B160" i="14"/>
  <c r="I160" i="14"/>
  <c r="D160" i="14"/>
  <c r="A160" i="14"/>
  <c r="E159" i="14"/>
  <c r="R24" i="15"/>
  <c r="S24" i="15"/>
  <c r="Q22" i="15"/>
  <c r="P24" i="15"/>
  <c r="O160" i="14"/>
  <c r="D161" i="17" s="1"/>
  <c r="P160" i="14"/>
  <c r="E161" i="17" s="1"/>
  <c r="O25" i="15"/>
  <c r="M161" i="14"/>
  <c r="N160" i="14"/>
  <c r="C161" i="17" s="1"/>
  <c r="J158" i="17" l="1"/>
  <c r="Q158" i="14"/>
  <c r="F159" i="17" s="1"/>
  <c r="L159" i="17"/>
  <c r="F159" i="14"/>
  <c r="H159" i="14"/>
  <c r="AA158" i="14"/>
  <c r="P159" i="17" s="1"/>
  <c r="Y158" i="14"/>
  <c r="N159" i="17" s="1"/>
  <c r="A159" i="17"/>
  <c r="Z158" i="14"/>
  <c r="O159" i="17" s="1"/>
  <c r="B162" i="17"/>
  <c r="G161" i="14"/>
  <c r="T26" i="15" s="1"/>
  <c r="AC159" i="14"/>
  <c r="R160" i="17" s="1"/>
  <c r="AB159" i="14"/>
  <c r="Q160" i="17" s="1"/>
  <c r="L159" i="14"/>
  <c r="J160" i="14"/>
  <c r="K160" i="14" s="1"/>
  <c r="AD160" i="14" s="1"/>
  <c r="S161" i="17" s="1"/>
  <c r="I161" i="14"/>
  <c r="A161" i="14"/>
  <c r="D161" i="14"/>
  <c r="C161" i="14"/>
  <c r="B161" i="14"/>
  <c r="E160" i="14"/>
  <c r="Q23" i="15"/>
  <c r="S25" i="15"/>
  <c r="R25" i="15"/>
  <c r="P161" i="14"/>
  <c r="E162" i="17" s="1"/>
  <c r="N161" i="14"/>
  <c r="C162" i="17" s="1"/>
  <c r="O161" i="14"/>
  <c r="D162" i="17" s="1"/>
  <c r="O26" i="15"/>
  <c r="M162" i="14"/>
  <c r="P25" i="15"/>
  <c r="H159" i="17" l="1"/>
  <c r="Q159" i="14"/>
  <c r="F160" i="17" s="1"/>
  <c r="L160" i="17"/>
  <c r="AA159" i="14"/>
  <c r="P160" i="17" s="1"/>
  <c r="Y159" i="14"/>
  <c r="N160" i="17" s="1"/>
  <c r="F160" i="14"/>
  <c r="H160" i="14"/>
  <c r="A160" i="17"/>
  <c r="Z159" i="14"/>
  <c r="O160" i="17" s="1"/>
  <c r="B163" i="17"/>
  <c r="G162" i="14"/>
  <c r="T27" i="15" s="1"/>
  <c r="L160" i="14"/>
  <c r="AC160" i="14"/>
  <c r="R161" i="17" s="1"/>
  <c r="AB160" i="14"/>
  <c r="Q161" i="17" s="1"/>
  <c r="J161" i="14"/>
  <c r="K161" i="14" s="1"/>
  <c r="AD161" i="14" s="1"/>
  <c r="S162" i="17" s="1"/>
  <c r="C162" i="14"/>
  <c r="I162" i="14"/>
  <c r="B162" i="14"/>
  <c r="A162" i="14"/>
  <c r="D162" i="14"/>
  <c r="E161" i="14"/>
  <c r="J159" i="17"/>
  <c r="Q24" i="15"/>
  <c r="S26" i="15"/>
  <c r="R26" i="15"/>
  <c r="P162" i="14"/>
  <c r="E163" i="17" s="1"/>
  <c r="M163" i="14"/>
  <c r="N162" i="14"/>
  <c r="C163" i="17" s="1"/>
  <c r="O162" i="14"/>
  <c r="D163" i="17" s="1"/>
  <c r="O27" i="15"/>
  <c r="P26" i="15"/>
  <c r="H160" i="17" l="1"/>
  <c r="Q160" i="14"/>
  <c r="F161" i="17" s="1"/>
  <c r="L161" i="17"/>
  <c r="H161" i="17"/>
  <c r="AA160" i="14"/>
  <c r="P161" i="17" s="1"/>
  <c r="Y160" i="14"/>
  <c r="N161" i="17" s="1"/>
  <c r="F161" i="14"/>
  <c r="H161" i="14"/>
  <c r="A161" i="17"/>
  <c r="Z160" i="14"/>
  <c r="O161" i="17" s="1"/>
  <c r="L161" i="14"/>
  <c r="AC161" i="14"/>
  <c r="R162" i="17" s="1"/>
  <c r="AB161" i="14"/>
  <c r="Q162" i="17" s="1"/>
  <c r="B164" i="17"/>
  <c r="G163" i="14"/>
  <c r="T28" i="15" s="1"/>
  <c r="J160" i="17"/>
  <c r="E162" i="14"/>
  <c r="J162" i="14"/>
  <c r="K162" i="14" s="1"/>
  <c r="AD162" i="14" s="1"/>
  <c r="S163" i="17" s="1"/>
  <c r="D163" i="14"/>
  <c r="C163" i="14"/>
  <c r="B163" i="14"/>
  <c r="A163" i="14"/>
  <c r="I163" i="14"/>
  <c r="S27" i="15"/>
  <c r="Q25" i="15"/>
  <c r="R27" i="15"/>
  <c r="P163" i="14"/>
  <c r="E164" i="17" s="1"/>
  <c r="M164" i="14"/>
  <c r="N163" i="14"/>
  <c r="C164" i="17" s="1"/>
  <c r="O163" i="14"/>
  <c r="D164" i="17" s="1"/>
  <c r="O28" i="15"/>
  <c r="P27" i="15"/>
  <c r="Q161" i="14" l="1"/>
  <c r="F162" i="17" s="1"/>
  <c r="L162" i="17"/>
  <c r="H162" i="17"/>
  <c r="J161" i="17"/>
  <c r="AA161" i="14"/>
  <c r="P162" i="17" s="1"/>
  <c r="Y161" i="14"/>
  <c r="N162" i="17" s="1"/>
  <c r="F162" i="14"/>
  <c r="H162" i="14"/>
  <c r="A162" i="17"/>
  <c r="Z161" i="14"/>
  <c r="O162" i="17" s="1"/>
  <c r="B165" i="17"/>
  <c r="G164" i="14"/>
  <c r="T29" i="15" s="1"/>
  <c r="AB162" i="14"/>
  <c r="Q163" i="17" s="1"/>
  <c r="AC162" i="14"/>
  <c r="R163" i="17" s="1"/>
  <c r="J163" i="14"/>
  <c r="K163" i="14" s="1"/>
  <c r="AD163" i="14" s="1"/>
  <c r="S164" i="17" s="1"/>
  <c r="I164" i="14"/>
  <c r="A164" i="14"/>
  <c r="D164" i="14"/>
  <c r="C164" i="14"/>
  <c r="B164" i="14"/>
  <c r="L162" i="14"/>
  <c r="E163" i="14"/>
  <c r="R28" i="15"/>
  <c r="Q26" i="15"/>
  <c r="S28" i="15"/>
  <c r="P28" i="15"/>
  <c r="P164" i="14"/>
  <c r="E165" i="17" s="1"/>
  <c r="O29" i="15"/>
  <c r="O164" i="14"/>
  <c r="D165" i="17" s="1"/>
  <c r="M165" i="14"/>
  <c r="N164" i="14"/>
  <c r="C165" i="17" s="1"/>
  <c r="Q162" i="14" l="1"/>
  <c r="F163" i="17" s="1"/>
  <c r="L163" i="17"/>
  <c r="H163" i="17"/>
  <c r="J162" i="17"/>
  <c r="AA162" i="14"/>
  <c r="P163" i="17" s="1"/>
  <c r="Y162" i="14"/>
  <c r="N163" i="17" s="1"/>
  <c r="F163" i="14"/>
  <c r="H163" i="14"/>
  <c r="A163" i="17"/>
  <c r="Z162" i="14"/>
  <c r="O163" i="17" s="1"/>
  <c r="B166" i="17"/>
  <c r="G165" i="14"/>
  <c r="T30" i="15" s="1"/>
  <c r="AC163" i="14"/>
  <c r="R164" i="17" s="1"/>
  <c r="AB163" i="14"/>
  <c r="Q164" i="17" s="1"/>
  <c r="L163" i="14"/>
  <c r="J164" i="14"/>
  <c r="K164" i="14" s="1"/>
  <c r="AD164" i="14" s="1"/>
  <c r="S165" i="17" s="1"/>
  <c r="C165" i="14"/>
  <c r="B165" i="14"/>
  <c r="D165" i="14"/>
  <c r="A165" i="14"/>
  <c r="I165" i="14"/>
  <c r="E164" i="14"/>
  <c r="R29" i="15"/>
  <c r="S29" i="15"/>
  <c r="Q27" i="15"/>
  <c r="N165" i="14"/>
  <c r="C166" i="17" s="1"/>
  <c r="O165" i="14"/>
  <c r="D166" i="17" s="1"/>
  <c r="M166" i="14"/>
  <c r="O30" i="15"/>
  <c r="P165" i="14"/>
  <c r="E166" i="17" s="1"/>
  <c r="P29" i="15"/>
  <c r="Q163" i="14" l="1"/>
  <c r="F164" i="17" s="1"/>
  <c r="W163" i="14"/>
  <c r="L164" i="17" s="1"/>
  <c r="S163" i="14"/>
  <c r="H164" i="17" s="1"/>
  <c r="J163" i="17"/>
  <c r="AA163" i="14"/>
  <c r="P164" i="17" s="1"/>
  <c r="Y163" i="14"/>
  <c r="N164" i="17" s="1"/>
  <c r="F164" i="14"/>
  <c r="H164" i="14"/>
  <c r="A164" i="17"/>
  <c r="Z163" i="14"/>
  <c r="O164" i="17" s="1"/>
  <c r="L164" i="14"/>
  <c r="AC164" i="14"/>
  <c r="R165" i="17" s="1"/>
  <c r="AB164" i="14"/>
  <c r="Q165" i="17" s="1"/>
  <c r="B167" i="17"/>
  <c r="G166" i="14"/>
  <c r="T31" i="15" s="1"/>
  <c r="J165" i="14"/>
  <c r="K165" i="14" s="1"/>
  <c r="AD165" i="14" s="1"/>
  <c r="S166" i="17" s="1"/>
  <c r="E165" i="14"/>
  <c r="A166" i="14"/>
  <c r="D166" i="14"/>
  <c r="I166" i="14"/>
  <c r="C166" i="14"/>
  <c r="B166" i="14"/>
  <c r="S30" i="15"/>
  <c r="R30" i="15"/>
  <c r="Q28" i="15"/>
  <c r="O31" i="15"/>
  <c r="O166" i="14"/>
  <c r="D167" i="17" s="1"/>
  <c r="M167" i="14"/>
  <c r="P166" i="14"/>
  <c r="E167" i="17" s="1"/>
  <c r="N166" i="14"/>
  <c r="C167" i="17" s="1"/>
  <c r="P30" i="15"/>
  <c r="W164" i="14" l="1"/>
  <c r="L165" i="17" s="1"/>
  <c r="S164" i="14"/>
  <c r="H165" i="17" s="1"/>
  <c r="Y164" i="14"/>
  <c r="N165" i="17" s="1"/>
  <c r="AA164" i="14"/>
  <c r="P165" i="17" s="1"/>
  <c r="U163" i="14"/>
  <c r="J164" i="17" s="1"/>
  <c r="F165" i="14"/>
  <c r="H165" i="14"/>
  <c r="Q164" i="14"/>
  <c r="F165" i="17" s="1"/>
  <c r="A165" i="17"/>
  <c r="Z164" i="14"/>
  <c r="O165" i="17" s="1"/>
  <c r="B168" i="17"/>
  <c r="G167" i="14"/>
  <c r="T32" i="15" s="1"/>
  <c r="AC165" i="14"/>
  <c r="R166" i="17" s="1"/>
  <c r="AB165" i="14"/>
  <c r="Q166" i="17" s="1"/>
  <c r="L165" i="14"/>
  <c r="I167" i="14"/>
  <c r="B167" i="14"/>
  <c r="A167" i="14"/>
  <c r="D167" i="14"/>
  <c r="C167" i="14"/>
  <c r="J166" i="14"/>
  <c r="K166" i="14" s="1"/>
  <c r="AD166" i="14" s="1"/>
  <c r="S167" i="17" s="1"/>
  <c r="E166" i="14"/>
  <c r="Q29" i="15"/>
  <c r="R31" i="15"/>
  <c r="S31" i="15"/>
  <c r="N167" i="14"/>
  <c r="C168" i="17" s="1"/>
  <c r="M168" i="14"/>
  <c r="O32" i="15"/>
  <c r="P167" i="14"/>
  <c r="E168" i="17" s="1"/>
  <c r="O167" i="14"/>
  <c r="D168" i="17" s="1"/>
  <c r="P31" i="15"/>
  <c r="Z157" i="17" l="1"/>
  <c r="AC157" i="17"/>
  <c r="AC158" i="17" s="1"/>
  <c r="AA157" i="17"/>
  <c r="U164" i="14"/>
  <c r="J165" i="17" s="1"/>
  <c r="Q165" i="14"/>
  <c r="F166" i="17" s="1"/>
  <c r="W165" i="14"/>
  <c r="L166" i="17" s="1"/>
  <c r="S165" i="14"/>
  <c r="U165" i="14" s="1"/>
  <c r="AA165" i="14"/>
  <c r="P166" i="17" s="1"/>
  <c r="Y165" i="14"/>
  <c r="N166" i="17" s="1"/>
  <c r="F166" i="14"/>
  <c r="H166" i="14"/>
  <c r="A166" i="17"/>
  <c r="Z165" i="14"/>
  <c r="O166" i="17" s="1"/>
  <c r="B169" i="17"/>
  <c r="G168" i="14"/>
  <c r="T33" i="15" s="1"/>
  <c r="L166" i="14"/>
  <c r="AB166" i="14"/>
  <c r="Q167" i="17" s="1"/>
  <c r="AC166" i="14"/>
  <c r="R167" i="17" s="1"/>
  <c r="J167" i="14"/>
  <c r="K167" i="14" s="1"/>
  <c r="AD167" i="14" s="1"/>
  <c r="S168" i="17" s="1"/>
  <c r="C168" i="14"/>
  <c r="B168" i="14"/>
  <c r="A168" i="14"/>
  <c r="I168" i="14"/>
  <c r="D168" i="14"/>
  <c r="E167" i="14"/>
  <c r="S32" i="15"/>
  <c r="Q30" i="15"/>
  <c r="R32" i="15"/>
  <c r="M169" i="14"/>
  <c r="N168" i="14"/>
  <c r="C169" i="17" s="1"/>
  <c r="O168" i="14"/>
  <c r="D169" i="17" s="1"/>
  <c r="P168" i="14"/>
  <c r="E169" i="17" s="1"/>
  <c r="O33" i="15"/>
  <c r="P32" i="15"/>
  <c r="H166" i="17" l="1"/>
  <c r="Y166" i="14"/>
  <c r="N167" i="17" s="1"/>
  <c r="W166" i="14"/>
  <c r="L167" i="17" s="1"/>
  <c r="S166" i="14"/>
  <c r="H167" i="17" s="1"/>
  <c r="AA166" i="14"/>
  <c r="P167" i="17" s="1"/>
  <c r="F167" i="14"/>
  <c r="H167" i="14"/>
  <c r="Q166" i="14"/>
  <c r="F167" i="17" s="1"/>
  <c r="A167" i="17"/>
  <c r="Z166" i="14"/>
  <c r="O167" i="17" s="1"/>
  <c r="AC167" i="14"/>
  <c r="R168" i="17" s="1"/>
  <c r="AB167" i="14"/>
  <c r="Q168" i="17" s="1"/>
  <c r="B170" i="17"/>
  <c r="G169" i="14"/>
  <c r="T34" i="15" s="1"/>
  <c r="J166" i="17"/>
  <c r="L167" i="14"/>
  <c r="I169" i="14"/>
  <c r="A169" i="14"/>
  <c r="D169" i="14"/>
  <c r="C169" i="14"/>
  <c r="B169" i="14"/>
  <c r="E168" i="14"/>
  <c r="J168" i="14"/>
  <c r="K168" i="14" s="1"/>
  <c r="AD168" i="14" s="1"/>
  <c r="S169" i="17" s="1"/>
  <c r="S33" i="15"/>
  <c r="Q31" i="15"/>
  <c r="R33" i="15"/>
  <c r="P33" i="15"/>
  <c r="N169" i="14"/>
  <c r="C170" i="17" s="1"/>
  <c r="P169" i="14"/>
  <c r="E170" i="17" s="1"/>
  <c r="O169" i="14"/>
  <c r="D170" i="17" s="1"/>
  <c r="O34" i="15"/>
  <c r="M172" i="14"/>
  <c r="Y167" i="14" l="1"/>
  <c r="N168" i="17" s="1"/>
  <c r="U166" i="14"/>
  <c r="J167" i="17" s="1"/>
  <c r="Q167" i="14"/>
  <c r="F168" i="17" s="1"/>
  <c r="W167" i="14"/>
  <c r="L168" i="17" s="1"/>
  <c r="S167" i="14"/>
  <c r="U167" i="14" s="1"/>
  <c r="AA167" i="14"/>
  <c r="P168" i="17" s="1"/>
  <c r="F168" i="14"/>
  <c r="H168" i="14"/>
  <c r="A168" i="17"/>
  <c r="Z167" i="14"/>
  <c r="O168" i="17" s="1"/>
  <c r="B173" i="17"/>
  <c r="G172" i="14"/>
  <c r="T36" i="15" s="1"/>
  <c r="L168" i="14"/>
  <c r="AC168" i="14"/>
  <c r="R169" i="17" s="1"/>
  <c r="AB168" i="14"/>
  <c r="Q169" i="17" s="1"/>
  <c r="E169" i="14"/>
  <c r="C172" i="14"/>
  <c r="B172" i="14"/>
  <c r="I172" i="14"/>
  <c r="D172" i="14"/>
  <c r="A172" i="14"/>
  <c r="J169" i="14"/>
  <c r="K169" i="14" s="1"/>
  <c r="AD169" i="14" s="1"/>
  <c r="S170" i="17" s="1"/>
  <c r="Q32" i="15"/>
  <c r="R34" i="15"/>
  <c r="S34" i="15"/>
  <c r="N172" i="14"/>
  <c r="C173" i="17" s="1"/>
  <c r="O172" i="14"/>
  <c r="D173" i="17" s="1"/>
  <c r="P172" i="14"/>
  <c r="E173" i="17" s="1"/>
  <c r="O36" i="15"/>
  <c r="M173" i="14"/>
  <c r="P34" i="15"/>
  <c r="H168" i="17" l="1"/>
  <c r="Q168" i="14"/>
  <c r="F169" i="17" s="1"/>
  <c r="W168" i="14"/>
  <c r="L169" i="17" s="1"/>
  <c r="S168" i="14"/>
  <c r="U168" i="14" s="1"/>
  <c r="J169" i="17" s="1"/>
  <c r="AA168" i="14"/>
  <c r="P169" i="17" s="1"/>
  <c r="Y168" i="14"/>
  <c r="N169" i="17" s="1"/>
  <c r="F169" i="14"/>
  <c r="H169" i="14"/>
  <c r="A169" i="17"/>
  <c r="Z168" i="14"/>
  <c r="O169" i="17" s="1"/>
  <c r="AC169" i="14"/>
  <c r="R170" i="17" s="1"/>
  <c r="AB169" i="14"/>
  <c r="Q170" i="17" s="1"/>
  <c r="B174" i="17"/>
  <c r="G173" i="14"/>
  <c r="T37" i="15" s="1"/>
  <c r="E172" i="14"/>
  <c r="L169" i="14"/>
  <c r="J172" i="14"/>
  <c r="K172" i="14" s="1"/>
  <c r="AD172" i="14" s="1"/>
  <c r="S173" i="17" s="1"/>
  <c r="J168" i="17"/>
  <c r="A173" i="14"/>
  <c r="D173" i="14"/>
  <c r="I173" i="14"/>
  <c r="C173" i="14"/>
  <c r="B173" i="14"/>
  <c r="Q33" i="15"/>
  <c r="S36" i="15"/>
  <c r="R36" i="15"/>
  <c r="P36" i="15"/>
  <c r="P173" i="14"/>
  <c r="E174" i="17" s="1"/>
  <c r="N173" i="14"/>
  <c r="C174" i="17" s="1"/>
  <c r="O173" i="14"/>
  <c r="D174" i="17" s="1"/>
  <c r="O37" i="15"/>
  <c r="M174" i="14"/>
  <c r="H169" i="17" l="1"/>
  <c r="Y169" i="14"/>
  <c r="N170" i="17" s="1"/>
  <c r="Q169" i="14"/>
  <c r="F170" i="17" s="1"/>
  <c r="F171" i="17" s="1"/>
  <c r="W169" i="14"/>
  <c r="L170" i="17" s="1"/>
  <c r="S169" i="14"/>
  <c r="U169" i="14" s="1"/>
  <c r="AA169" i="14"/>
  <c r="P170" i="17" s="1"/>
  <c r="F172" i="14"/>
  <c r="H172" i="14"/>
  <c r="A170" i="17"/>
  <c r="Z169" i="14"/>
  <c r="O170" i="17" s="1"/>
  <c r="B175" i="17"/>
  <c r="G174" i="14"/>
  <c r="T38" i="15" s="1"/>
  <c r="AC172" i="14"/>
  <c r="R173" i="17" s="1"/>
  <c r="AB172" i="14"/>
  <c r="Q173" i="17" s="1"/>
  <c r="L172" i="14"/>
  <c r="E173" i="14"/>
  <c r="J173" i="14"/>
  <c r="K173" i="14" s="1"/>
  <c r="AD173" i="14" s="1"/>
  <c r="S174" i="17" s="1"/>
  <c r="B174" i="14"/>
  <c r="I174" i="14"/>
  <c r="A174" i="14"/>
  <c r="D174" i="14"/>
  <c r="C174" i="14"/>
  <c r="S37" i="15"/>
  <c r="R37" i="15"/>
  <c r="Q34" i="15"/>
  <c r="P37" i="15"/>
  <c r="O174" i="14"/>
  <c r="D175" i="17" s="1"/>
  <c r="N174" i="14"/>
  <c r="C175" i="17" s="1"/>
  <c r="O38" i="15"/>
  <c r="P174" i="14"/>
  <c r="E175" i="17" s="1"/>
  <c r="M175" i="14"/>
  <c r="Y172" i="14" l="1"/>
  <c r="Q172" i="14"/>
  <c r="W172" i="14"/>
  <c r="S172" i="14"/>
  <c r="U172" i="14" s="1"/>
  <c r="AA172" i="14"/>
  <c r="F173" i="14"/>
  <c r="H173" i="14"/>
  <c r="A173" i="17"/>
  <c r="Z172" i="14"/>
  <c r="O173" i="17" s="1"/>
  <c r="B176" i="17"/>
  <c r="G175" i="14"/>
  <c r="T39" i="15" s="1"/>
  <c r="AC173" i="14"/>
  <c r="R174" i="17" s="1"/>
  <c r="AB173" i="14"/>
  <c r="Q174" i="17" s="1"/>
  <c r="E174" i="14"/>
  <c r="J170" i="17"/>
  <c r="H170" i="17"/>
  <c r="AA409" i="17"/>
  <c r="L173" i="14"/>
  <c r="J174" i="14"/>
  <c r="K174" i="14" s="1"/>
  <c r="AD174" i="14" s="1"/>
  <c r="S175" i="17" s="1"/>
  <c r="D175" i="14"/>
  <c r="C175" i="14"/>
  <c r="B175" i="14"/>
  <c r="A175" i="14"/>
  <c r="I175" i="14"/>
  <c r="L173" i="17"/>
  <c r="P173" i="17"/>
  <c r="N173" i="17"/>
  <c r="F173" i="17"/>
  <c r="S38" i="15"/>
  <c r="Q36" i="15"/>
  <c r="R38" i="15"/>
  <c r="O39" i="15"/>
  <c r="N175" i="14"/>
  <c r="C176" i="17" s="1"/>
  <c r="P175" i="14"/>
  <c r="E176" i="17" s="1"/>
  <c r="O175" i="14"/>
  <c r="D176" i="17" s="1"/>
  <c r="M176" i="14"/>
  <c r="P38" i="15"/>
  <c r="Q173" i="14" l="1"/>
  <c r="W173" i="14"/>
  <c r="L174" i="17" s="1"/>
  <c r="S173" i="14"/>
  <c r="U173" i="14" s="1"/>
  <c r="AA173" i="14"/>
  <c r="P174" i="17" s="1"/>
  <c r="Y173" i="14"/>
  <c r="N174" i="17" s="1"/>
  <c r="F174" i="14"/>
  <c r="H174" i="14"/>
  <c r="A174" i="17"/>
  <c r="Z173" i="14"/>
  <c r="O174" i="17" s="1"/>
  <c r="B177" i="17"/>
  <c r="G176" i="14"/>
  <c r="T40" i="15" s="1"/>
  <c r="AC174" i="14"/>
  <c r="R175" i="17" s="1"/>
  <c r="AB174" i="14"/>
  <c r="Q175" i="17" s="1"/>
  <c r="J173" i="17"/>
  <c r="H173" i="17"/>
  <c r="E175" i="14"/>
  <c r="L174" i="14"/>
  <c r="F174" i="17"/>
  <c r="J175" i="14"/>
  <c r="K175" i="14" s="1"/>
  <c r="AD175" i="14" s="1"/>
  <c r="S176" i="17" s="1"/>
  <c r="B176" i="14"/>
  <c r="I176" i="14"/>
  <c r="A176" i="14"/>
  <c r="D176" i="14"/>
  <c r="C176" i="14"/>
  <c r="S39" i="15"/>
  <c r="R39" i="15"/>
  <c r="Q37" i="15"/>
  <c r="P39" i="15"/>
  <c r="N176" i="14"/>
  <c r="C177" i="17" s="1"/>
  <c r="M177" i="14"/>
  <c r="O40" i="15"/>
  <c r="P176" i="14"/>
  <c r="E177" i="17" s="1"/>
  <c r="O176" i="14"/>
  <c r="D177" i="17" s="1"/>
  <c r="Y174" i="14" l="1"/>
  <c r="N175" i="17" s="1"/>
  <c r="Q174" i="14"/>
  <c r="F175" i="17" s="1"/>
  <c r="W174" i="14"/>
  <c r="L175" i="17" s="1"/>
  <c r="S174" i="14"/>
  <c r="U174" i="14" s="1"/>
  <c r="AA174" i="14"/>
  <c r="P175" i="17" s="1"/>
  <c r="F175" i="14"/>
  <c r="H175" i="14"/>
  <c r="A175" i="17"/>
  <c r="Z174" i="14"/>
  <c r="O175" i="17" s="1"/>
  <c r="AB175" i="14"/>
  <c r="Q176" i="17" s="1"/>
  <c r="AC175" i="14"/>
  <c r="R176" i="17" s="1"/>
  <c r="B178" i="17"/>
  <c r="G177" i="14"/>
  <c r="T41" i="15" s="1"/>
  <c r="J174" i="17"/>
  <c r="H174" i="17"/>
  <c r="AB409" i="17"/>
  <c r="L175" i="14"/>
  <c r="E176" i="14"/>
  <c r="D177" i="14"/>
  <c r="C177" i="14"/>
  <c r="I177" i="14"/>
  <c r="B177" i="14"/>
  <c r="A177" i="14"/>
  <c r="J176" i="14"/>
  <c r="K176" i="14" s="1"/>
  <c r="AD176" i="14" s="1"/>
  <c r="S177" i="17" s="1"/>
  <c r="S40" i="15"/>
  <c r="Q38" i="15"/>
  <c r="R40" i="15"/>
  <c r="O41" i="15"/>
  <c r="M178" i="14"/>
  <c r="N177" i="14"/>
  <c r="C178" i="17" s="1"/>
  <c r="O177" i="14"/>
  <c r="D178" i="17" s="1"/>
  <c r="P177" i="14"/>
  <c r="E178" i="17" s="1"/>
  <c r="P40" i="15"/>
  <c r="H175" i="17" l="1"/>
  <c r="Q175" i="14"/>
  <c r="F176" i="17" s="1"/>
  <c r="W175" i="14"/>
  <c r="L176" i="17" s="1"/>
  <c r="S175" i="14"/>
  <c r="U175" i="14" s="1"/>
  <c r="AA175" i="14"/>
  <c r="P176" i="17" s="1"/>
  <c r="Y175" i="14"/>
  <c r="N176" i="17" s="1"/>
  <c r="F176" i="14"/>
  <c r="H176" i="14"/>
  <c r="A176" i="17"/>
  <c r="Z175" i="14"/>
  <c r="O176" i="17" s="1"/>
  <c r="B179" i="17"/>
  <c r="G178" i="14"/>
  <c r="T42" i="15" s="1"/>
  <c r="AB176" i="14"/>
  <c r="Q177" i="17" s="1"/>
  <c r="AC176" i="14"/>
  <c r="R177" i="17" s="1"/>
  <c r="AC409" i="17"/>
  <c r="E177" i="14"/>
  <c r="L176" i="14"/>
  <c r="I178" i="14"/>
  <c r="A178" i="14"/>
  <c r="D178" i="14"/>
  <c r="C178" i="14"/>
  <c r="B178" i="14"/>
  <c r="J175" i="17"/>
  <c r="J177" i="14"/>
  <c r="K177" i="14" s="1"/>
  <c r="AD177" i="14" s="1"/>
  <c r="S178" i="17" s="1"/>
  <c r="Q39" i="15"/>
  <c r="R41" i="15"/>
  <c r="S41" i="15"/>
  <c r="P41" i="15"/>
  <c r="N178" i="14"/>
  <c r="C179" i="17" s="1"/>
  <c r="O178" i="14"/>
  <c r="D179" i="17" s="1"/>
  <c r="O42" i="15"/>
  <c r="P178" i="14"/>
  <c r="E179" i="17" s="1"/>
  <c r="M179" i="14"/>
  <c r="H176" i="17" l="1"/>
  <c r="Q176" i="14"/>
  <c r="F177" i="17" s="1"/>
  <c r="W176" i="14"/>
  <c r="L177" i="17" s="1"/>
  <c r="S176" i="14"/>
  <c r="U176" i="14" s="1"/>
  <c r="AA176" i="14"/>
  <c r="P177" i="17" s="1"/>
  <c r="Y176" i="14"/>
  <c r="N177" i="17" s="1"/>
  <c r="F177" i="14"/>
  <c r="H177" i="14"/>
  <c r="A177" i="17"/>
  <c r="Z176" i="14"/>
  <c r="O177" i="17" s="1"/>
  <c r="B180" i="17"/>
  <c r="G179" i="14"/>
  <c r="T43" i="15" s="1"/>
  <c r="AC177" i="14"/>
  <c r="R178" i="17" s="1"/>
  <c r="AB177" i="14"/>
  <c r="Q178" i="17" s="1"/>
  <c r="J176" i="17"/>
  <c r="L177" i="14"/>
  <c r="J178" i="14"/>
  <c r="K178" i="14" s="1"/>
  <c r="AD178" i="14" s="1"/>
  <c r="S179" i="17" s="1"/>
  <c r="E178" i="14"/>
  <c r="C179" i="14"/>
  <c r="B179" i="14"/>
  <c r="A179" i="14"/>
  <c r="I179" i="14"/>
  <c r="D179" i="14"/>
  <c r="R42" i="15"/>
  <c r="S42" i="15"/>
  <c r="Q40" i="15"/>
  <c r="M180" i="14"/>
  <c r="N179" i="14"/>
  <c r="C180" i="17" s="1"/>
  <c r="O179" i="14"/>
  <c r="D180" i="17" s="1"/>
  <c r="P179" i="14"/>
  <c r="E180" i="17" s="1"/>
  <c r="O43" i="15"/>
  <c r="P42" i="15"/>
  <c r="Q177" i="14" l="1"/>
  <c r="F178" i="17" s="1"/>
  <c r="L178" i="17"/>
  <c r="AA177" i="14"/>
  <c r="P178" i="17" s="1"/>
  <c r="Y177" i="14"/>
  <c r="N178" i="17" s="1"/>
  <c r="F178" i="14"/>
  <c r="H178" i="14"/>
  <c r="A178" i="17"/>
  <c r="Z177" i="14"/>
  <c r="O178" i="17" s="1"/>
  <c r="B181" i="17"/>
  <c r="G180" i="14"/>
  <c r="T44" i="15" s="1"/>
  <c r="L178" i="14"/>
  <c r="AC178" i="14"/>
  <c r="R179" i="17" s="1"/>
  <c r="AB178" i="14"/>
  <c r="Q179" i="17" s="1"/>
  <c r="J177" i="17"/>
  <c r="H177" i="17"/>
  <c r="E179" i="14"/>
  <c r="J179" i="14"/>
  <c r="K179" i="14" s="1"/>
  <c r="AD179" i="14" s="1"/>
  <c r="S180" i="17" s="1"/>
  <c r="I180" i="14"/>
  <c r="A180" i="14"/>
  <c r="D180" i="14"/>
  <c r="C180" i="14"/>
  <c r="B180" i="14"/>
  <c r="S43" i="15"/>
  <c r="R43" i="15"/>
  <c r="Q41" i="15"/>
  <c r="P43" i="15"/>
  <c r="O44" i="15"/>
  <c r="N180" i="14"/>
  <c r="C181" i="17" s="1"/>
  <c r="P180" i="14"/>
  <c r="E181" i="17" s="1"/>
  <c r="M181" i="14"/>
  <c r="O180" i="14"/>
  <c r="D181" i="17" s="1"/>
  <c r="Q178" i="14" l="1"/>
  <c r="F179" i="17" s="1"/>
  <c r="L179" i="17"/>
  <c r="J179" i="17"/>
  <c r="F179" i="14"/>
  <c r="H179" i="14"/>
  <c r="AA178" i="14"/>
  <c r="P179" i="17" s="1"/>
  <c r="Y178" i="14"/>
  <c r="N179" i="17" s="1"/>
  <c r="A179" i="17"/>
  <c r="Z178" i="14"/>
  <c r="O179" i="17" s="1"/>
  <c r="AC179" i="14"/>
  <c r="R180" i="17" s="1"/>
  <c r="AB179" i="14"/>
  <c r="Q180" i="17" s="1"/>
  <c r="B182" i="17"/>
  <c r="G181" i="14"/>
  <c r="T45" i="15" s="1"/>
  <c r="E180" i="14"/>
  <c r="J178" i="17"/>
  <c r="H178" i="17"/>
  <c r="J180" i="14"/>
  <c r="K180" i="14" s="1"/>
  <c r="AD180" i="14" s="1"/>
  <c r="S181" i="17" s="1"/>
  <c r="L179" i="14"/>
  <c r="C181" i="14"/>
  <c r="I181" i="14"/>
  <c r="B181" i="14"/>
  <c r="D181" i="14"/>
  <c r="A181" i="14"/>
  <c r="Q42" i="15"/>
  <c r="R44" i="15"/>
  <c r="S44" i="15"/>
  <c r="M182" i="14"/>
  <c r="O181" i="14"/>
  <c r="D182" i="17" s="1"/>
  <c r="O45" i="15"/>
  <c r="P181" i="14"/>
  <c r="E182" i="17" s="1"/>
  <c r="N181" i="14"/>
  <c r="C182" i="17" s="1"/>
  <c r="P44" i="15"/>
  <c r="H179" i="17" l="1"/>
  <c r="Q179" i="14"/>
  <c r="F180" i="17" s="1"/>
  <c r="W179" i="14"/>
  <c r="L180" i="17" s="1"/>
  <c r="S179" i="14"/>
  <c r="U179" i="14" s="1"/>
  <c r="F180" i="14"/>
  <c r="H180" i="14"/>
  <c r="AA179" i="14"/>
  <c r="P180" i="17" s="1"/>
  <c r="Y179" i="14"/>
  <c r="N180" i="17" s="1"/>
  <c r="A180" i="17"/>
  <c r="Z179" i="14"/>
  <c r="O180" i="17" s="1"/>
  <c r="B183" i="17"/>
  <c r="G182" i="14"/>
  <c r="T46" i="15" s="1"/>
  <c r="AC180" i="14"/>
  <c r="R181" i="17" s="1"/>
  <c r="AB180" i="14"/>
  <c r="Q181" i="17" s="1"/>
  <c r="L180" i="14"/>
  <c r="J181" i="14"/>
  <c r="K181" i="14" s="1"/>
  <c r="AD181" i="14" s="1"/>
  <c r="S182" i="17" s="1"/>
  <c r="D182" i="14"/>
  <c r="C182" i="14"/>
  <c r="I182" i="14"/>
  <c r="B182" i="14"/>
  <c r="A182" i="14"/>
  <c r="E181" i="14"/>
  <c r="S45" i="15"/>
  <c r="Q43" i="15"/>
  <c r="R45" i="15"/>
  <c r="P45" i="15"/>
  <c r="O182" i="14"/>
  <c r="D183" i="17" s="1"/>
  <c r="P182" i="14"/>
  <c r="E183" i="17" s="1"/>
  <c r="N182" i="14"/>
  <c r="C183" i="17" s="1"/>
  <c r="O46" i="15"/>
  <c r="M183" i="14"/>
  <c r="Q180" i="14" l="1"/>
  <c r="F181" i="17" s="1"/>
  <c r="L181" i="17"/>
  <c r="Y180" i="14"/>
  <c r="N181" i="17" s="1"/>
  <c r="AA180" i="14"/>
  <c r="P181" i="17" s="1"/>
  <c r="F181" i="14"/>
  <c r="H181" i="14"/>
  <c r="A181" i="17"/>
  <c r="Z180" i="14"/>
  <c r="O181" i="17" s="1"/>
  <c r="L181" i="14"/>
  <c r="AC181" i="14"/>
  <c r="R182" i="17" s="1"/>
  <c r="AB181" i="14"/>
  <c r="Q182" i="17" s="1"/>
  <c r="B184" i="17"/>
  <c r="G183" i="14"/>
  <c r="T47" i="15" s="1"/>
  <c r="J180" i="17"/>
  <c r="H180" i="17"/>
  <c r="E182" i="14"/>
  <c r="B183" i="14"/>
  <c r="I183" i="14"/>
  <c r="A183" i="14"/>
  <c r="D183" i="14"/>
  <c r="C183" i="14"/>
  <c r="J182" i="14"/>
  <c r="K182" i="14" s="1"/>
  <c r="AD182" i="14" s="1"/>
  <c r="S183" i="17" s="1"/>
  <c r="S46" i="15"/>
  <c r="Q44" i="15"/>
  <c r="R46" i="15"/>
  <c r="P46" i="15"/>
  <c r="O47" i="15"/>
  <c r="M184" i="14"/>
  <c r="P183" i="14"/>
  <c r="E184" i="17" s="1"/>
  <c r="O183" i="14"/>
  <c r="D184" i="17" s="1"/>
  <c r="N183" i="14"/>
  <c r="C184" i="17" s="1"/>
  <c r="Q181" i="14" l="1"/>
  <c r="F182" i="17" s="1"/>
  <c r="L182" i="17"/>
  <c r="E183" i="14"/>
  <c r="F182" i="14"/>
  <c r="H182" i="14"/>
  <c r="AA181" i="14"/>
  <c r="P182" i="17" s="1"/>
  <c r="Y181" i="14"/>
  <c r="N182" i="17" s="1"/>
  <c r="A182" i="17"/>
  <c r="Z181" i="14"/>
  <c r="O182" i="17" s="1"/>
  <c r="B185" i="17"/>
  <c r="G184" i="14"/>
  <c r="T48" i="15" s="1"/>
  <c r="AC182" i="14"/>
  <c r="R183" i="17" s="1"/>
  <c r="AB182" i="14"/>
  <c r="Q183" i="17" s="1"/>
  <c r="J181" i="17"/>
  <c r="H181" i="17"/>
  <c r="D184" i="14"/>
  <c r="C184" i="14"/>
  <c r="B184" i="14"/>
  <c r="A184" i="14"/>
  <c r="I184" i="14"/>
  <c r="J183" i="14"/>
  <c r="K183" i="14" s="1"/>
  <c r="AD183" i="14" s="1"/>
  <c r="S184" i="17" s="1"/>
  <c r="L182" i="14"/>
  <c r="S47" i="15"/>
  <c r="R47" i="15"/>
  <c r="Q45" i="15"/>
  <c r="P47" i="15"/>
  <c r="O184" i="14"/>
  <c r="D185" i="17" s="1"/>
  <c r="P184" i="14"/>
  <c r="E185" i="17" s="1"/>
  <c r="N184" i="14"/>
  <c r="C185" i="17" s="1"/>
  <c r="O48" i="15"/>
  <c r="M185" i="14"/>
  <c r="H182" i="17" l="1"/>
  <c r="Q182" i="14"/>
  <c r="F183" i="17" s="1"/>
  <c r="L183" i="17"/>
  <c r="H183" i="17"/>
  <c r="AA182" i="14"/>
  <c r="P183" i="17" s="1"/>
  <c r="Y182" i="14"/>
  <c r="N183" i="17" s="1"/>
  <c r="F183" i="14"/>
  <c r="H183" i="14"/>
  <c r="J182" i="17"/>
  <c r="A183" i="17"/>
  <c r="Z182" i="14"/>
  <c r="O183" i="17" s="1"/>
  <c r="B186" i="17"/>
  <c r="G185" i="14"/>
  <c r="T49" i="15" s="1"/>
  <c r="AB183" i="14"/>
  <c r="Q184" i="17" s="1"/>
  <c r="AC183" i="14"/>
  <c r="R184" i="17" s="1"/>
  <c r="E184" i="14"/>
  <c r="J184" i="14"/>
  <c r="K184" i="14" s="1"/>
  <c r="AD184" i="14" s="1"/>
  <c r="S185" i="17" s="1"/>
  <c r="I185" i="14"/>
  <c r="B185" i="14"/>
  <c r="A185" i="14"/>
  <c r="D185" i="14"/>
  <c r="C185" i="14"/>
  <c r="L183" i="14"/>
  <c r="R48" i="15"/>
  <c r="S48" i="15"/>
  <c r="Q46" i="15"/>
  <c r="O49" i="15"/>
  <c r="N185" i="14"/>
  <c r="C186" i="17" s="1"/>
  <c r="M186" i="14"/>
  <c r="O185" i="14"/>
  <c r="D186" i="17" s="1"/>
  <c r="P185" i="14"/>
  <c r="E186" i="17" s="1"/>
  <c r="P48" i="15"/>
  <c r="J183" i="17" l="1"/>
  <c r="Q183" i="14"/>
  <c r="F184" i="17" s="1"/>
  <c r="L184" i="17"/>
  <c r="H184" i="17"/>
  <c r="F184" i="14"/>
  <c r="H184" i="14"/>
  <c r="AA183" i="14"/>
  <c r="P184" i="17" s="1"/>
  <c r="Y183" i="14"/>
  <c r="N184" i="17" s="1"/>
  <c r="A184" i="17"/>
  <c r="Z183" i="14"/>
  <c r="O184" i="17" s="1"/>
  <c r="AB184" i="14"/>
  <c r="Q185" i="17" s="1"/>
  <c r="AC184" i="14"/>
  <c r="R185" i="17" s="1"/>
  <c r="B187" i="17"/>
  <c r="G186" i="14"/>
  <c r="T50" i="15" s="1"/>
  <c r="C186" i="14"/>
  <c r="B186" i="14"/>
  <c r="I186" i="14"/>
  <c r="D186" i="14"/>
  <c r="A186" i="14"/>
  <c r="E185" i="14"/>
  <c r="J185" i="14"/>
  <c r="K185" i="14" s="1"/>
  <c r="AD185" i="14" s="1"/>
  <c r="S186" i="17" s="1"/>
  <c r="L184" i="14"/>
  <c r="Q47" i="15"/>
  <c r="S49" i="15"/>
  <c r="R49" i="15"/>
  <c r="P49" i="15"/>
  <c r="O50" i="15"/>
  <c r="P186" i="14"/>
  <c r="E187" i="17" s="1"/>
  <c r="N186" i="14"/>
  <c r="C187" i="17" s="1"/>
  <c r="M187" i="14"/>
  <c r="O186" i="14"/>
  <c r="D187" i="17" s="1"/>
  <c r="J184" i="17" l="1"/>
  <c r="Q184" i="14"/>
  <c r="F185" i="17" s="1"/>
  <c r="L185" i="17"/>
  <c r="H185" i="17"/>
  <c r="AA184" i="14"/>
  <c r="P185" i="17" s="1"/>
  <c r="Y184" i="14"/>
  <c r="N185" i="17" s="1"/>
  <c r="F185" i="14"/>
  <c r="H185" i="14"/>
  <c r="A185" i="17"/>
  <c r="Z184" i="14"/>
  <c r="O185" i="17" s="1"/>
  <c r="B188" i="17"/>
  <c r="G187" i="14"/>
  <c r="T51" i="15" s="1"/>
  <c r="AC185" i="14"/>
  <c r="R186" i="17" s="1"/>
  <c r="AB185" i="14"/>
  <c r="Q186" i="17" s="1"/>
  <c r="E186" i="14"/>
  <c r="L185" i="14"/>
  <c r="I187" i="14"/>
  <c r="A187" i="14"/>
  <c r="D187" i="14"/>
  <c r="C187" i="14"/>
  <c r="B187" i="14"/>
  <c r="J186" i="14"/>
  <c r="K186" i="14" s="1"/>
  <c r="AD186" i="14" s="1"/>
  <c r="S187" i="17" s="1"/>
  <c r="R50" i="15"/>
  <c r="Q48" i="15"/>
  <c r="S50" i="15"/>
  <c r="O187" i="14"/>
  <c r="D188" i="17" s="1"/>
  <c r="M188" i="14"/>
  <c r="N187" i="14"/>
  <c r="C188" i="17" s="1"/>
  <c r="O51" i="15"/>
  <c r="P187" i="14"/>
  <c r="E188" i="17" s="1"/>
  <c r="P50" i="15"/>
  <c r="Q185" i="14" l="1"/>
  <c r="L186" i="17"/>
  <c r="H186" i="17"/>
  <c r="J185" i="17"/>
  <c r="AA185" i="14"/>
  <c r="P186" i="17" s="1"/>
  <c r="Y185" i="14"/>
  <c r="N186" i="17" s="1"/>
  <c r="F186" i="14"/>
  <c r="H186" i="14"/>
  <c r="A186" i="17"/>
  <c r="Z185" i="14"/>
  <c r="O186" i="17" s="1"/>
  <c r="AC186" i="14"/>
  <c r="R187" i="17" s="1"/>
  <c r="AB186" i="14"/>
  <c r="Q187" i="17" s="1"/>
  <c r="B189" i="17"/>
  <c r="G188" i="14"/>
  <c r="T52" i="15" s="1"/>
  <c r="L186" i="14"/>
  <c r="E187" i="14"/>
  <c r="J187" i="14"/>
  <c r="K187" i="14" s="1"/>
  <c r="AD187" i="14" s="1"/>
  <c r="S188" i="17" s="1"/>
  <c r="C188" i="14"/>
  <c r="B188" i="14"/>
  <c r="A188" i="14"/>
  <c r="I188" i="14"/>
  <c r="D188" i="14"/>
  <c r="F186" i="17"/>
  <c r="R51" i="15"/>
  <c r="Q49" i="15"/>
  <c r="S51" i="15"/>
  <c r="P51" i="15"/>
  <c r="O52" i="15"/>
  <c r="P188" i="14"/>
  <c r="E189" i="17" s="1"/>
  <c r="N188" i="14"/>
  <c r="C189" i="17" s="1"/>
  <c r="M189" i="14"/>
  <c r="O188" i="14"/>
  <c r="D189" i="17" s="1"/>
  <c r="Q186" i="14" l="1"/>
  <c r="F187" i="17" s="1"/>
  <c r="L187" i="17"/>
  <c r="H187" i="17"/>
  <c r="J186" i="17"/>
  <c r="F187" i="14"/>
  <c r="H187" i="14"/>
  <c r="AA186" i="14"/>
  <c r="P187" i="17" s="1"/>
  <c r="Y186" i="14"/>
  <c r="N187" i="17" s="1"/>
  <c r="A187" i="17"/>
  <c r="Z186" i="14"/>
  <c r="O187" i="17" s="1"/>
  <c r="B190" i="17"/>
  <c r="G189" i="14"/>
  <c r="T53" i="15" s="1"/>
  <c r="L187" i="14"/>
  <c r="AC187" i="14"/>
  <c r="R188" i="17" s="1"/>
  <c r="AB187" i="14"/>
  <c r="Q188" i="17" s="1"/>
  <c r="E188" i="14"/>
  <c r="J188" i="14"/>
  <c r="K188" i="14" s="1"/>
  <c r="AD188" i="14" s="1"/>
  <c r="S189" i="17" s="1"/>
  <c r="A189" i="14"/>
  <c r="D189" i="14"/>
  <c r="C189" i="14"/>
  <c r="B189" i="14"/>
  <c r="I189" i="14"/>
  <c r="R52" i="15"/>
  <c r="S52" i="15"/>
  <c r="Q50" i="15"/>
  <c r="N189" i="14"/>
  <c r="C190" i="17" s="1"/>
  <c r="M190" i="14"/>
  <c r="O53" i="15"/>
  <c r="P189" i="14"/>
  <c r="E190" i="17" s="1"/>
  <c r="O189" i="14"/>
  <c r="D190" i="17" s="1"/>
  <c r="P52" i="15"/>
  <c r="J187" i="17" l="1"/>
  <c r="Q187" i="14"/>
  <c r="F188" i="17" s="1"/>
  <c r="W187" i="14"/>
  <c r="L188" i="17" s="1"/>
  <c r="S187" i="14"/>
  <c r="H188" i="17" s="1"/>
  <c r="AA187" i="14"/>
  <c r="P188" i="17" s="1"/>
  <c r="Y187" i="14"/>
  <c r="N188" i="17" s="1"/>
  <c r="F188" i="14"/>
  <c r="H188" i="14"/>
  <c r="A188" i="17"/>
  <c r="Z187" i="14"/>
  <c r="O188" i="17" s="1"/>
  <c r="B191" i="17"/>
  <c r="G190" i="14"/>
  <c r="T54" i="15" s="1"/>
  <c r="AC188" i="14"/>
  <c r="R189" i="17" s="1"/>
  <c r="AB188" i="14"/>
  <c r="Q189" i="17" s="1"/>
  <c r="E189" i="14"/>
  <c r="L188" i="14"/>
  <c r="J189" i="14"/>
  <c r="K189" i="14" s="1"/>
  <c r="AD189" i="14" s="1"/>
  <c r="S190" i="17" s="1"/>
  <c r="B190" i="14"/>
  <c r="I190" i="14"/>
  <c r="A190" i="14"/>
  <c r="D190" i="14"/>
  <c r="C190" i="14"/>
  <c r="S53" i="15"/>
  <c r="Q51" i="15"/>
  <c r="R53" i="15"/>
  <c r="O190" i="14"/>
  <c r="D191" i="17" s="1"/>
  <c r="N190" i="14"/>
  <c r="C191" i="17" s="1"/>
  <c r="M191" i="14"/>
  <c r="O54" i="15"/>
  <c r="P190" i="14"/>
  <c r="E191" i="17" s="1"/>
  <c r="P53" i="15"/>
  <c r="U187" i="14" l="1"/>
  <c r="J188" i="17" s="1"/>
  <c r="Q188" i="14"/>
  <c r="F189" i="17" s="1"/>
  <c r="L189" i="17"/>
  <c r="Y188" i="14"/>
  <c r="N189" i="17" s="1"/>
  <c r="AA188" i="14"/>
  <c r="P189" i="17" s="1"/>
  <c r="F189" i="14"/>
  <c r="H189" i="14"/>
  <c r="A189" i="17"/>
  <c r="Z188" i="14"/>
  <c r="O189" i="17" s="1"/>
  <c r="AC189" i="14"/>
  <c r="R190" i="17" s="1"/>
  <c r="AB189" i="14"/>
  <c r="Q190" i="17" s="1"/>
  <c r="B192" i="17"/>
  <c r="G191" i="14"/>
  <c r="T55" i="15" s="1"/>
  <c r="E190" i="14"/>
  <c r="L189" i="14"/>
  <c r="D191" i="14"/>
  <c r="C191" i="14"/>
  <c r="I191" i="14"/>
  <c r="B191" i="14"/>
  <c r="A191" i="14"/>
  <c r="J190" i="14"/>
  <c r="K190" i="14" s="1"/>
  <c r="AD190" i="14" s="1"/>
  <c r="S191" i="17" s="1"/>
  <c r="S54" i="15"/>
  <c r="R54" i="15"/>
  <c r="Q52" i="15"/>
  <c r="N191" i="14"/>
  <c r="C192" i="17" s="1"/>
  <c r="O55" i="15"/>
  <c r="M192" i="14"/>
  <c r="O191" i="14"/>
  <c r="D192" i="17" s="1"/>
  <c r="P191" i="14"/>
  <c r="E192" i="17" s="1"/>
  <c r="P54" i="15"/>
  <c r="Q189" i="14" l="1"/>
  <c r="F190" i="17" s="1"/>
  <c r="L190" i="17"/>
  <c r="F190" i="14"/>
  <c r="H190" i="14"/>
  <c r="AA189" i="14"/>
  <c r="P190" i="17" s="1"/>
  <c r="Y189" i="14"/>
  <c r="N190" i="17" s="1"/>
  <c r="A190" i="17"/>
  <c r="Z189" i="14"/>
  <c r="O190" i="17" s="1"/>
  <c r="B193" i="17"/>
  <c r="G192" i="14"/>
  <c r="T56" i="15" s="1"/>
  <c r="L190" i="14"/>
  <c r="AC190" i="14"/>
  <c r="R191" i="17" s="1"/>
  <c r="AB190" i="14"/>
  <c r="Q191" i="17" s="1"/>
  <c r="E191" i="14"/>
  <c r="J189" i="17"/>
  <c r="H189" i="17"/>
  <c r="B192" i="14"/>
  <c r="I192" i="14"/>
  <c r="A192" i="14"/>
  <c r="D192" i="14"/>
  <c r="C192" i="14"/>
  <c r="J191" i="14"/>
  <c r="K191" i="14" s="1"/>
  <c r="AD191" i="14" s="1"/>
  <c r="S192" i="17" s="1"/>
  <c r="R55" i="15"/>
  <c r="Q53" i="15"/>
  <c r="S55" i="15"/>
  <c r="P55" i="15"/>
  <c r="P192" i="14"/>
  <c r="E193" i="17" s="1"/>
  <c r="N192" i="14"/>
  <c r="C193" i="17" s="1"/>
  <c r="O56" i="15"/>
  <c r="O192" i="14"/>
  <c r="D193" i="17" s="1"/>
  <c r="M193" i="14"/>
  <c r="L191" i="17" l="1"/>
  <c r="H191" i="17"/>
  <c r="F191" i="14"/>
  <c r="H191" i="14"/>
  <c r="AA190" i="14"/>
  <c r="P191" i="17" s="1"/>
  <c r="Y190" i="14"/>
  <c r="N191" i="17" s="1"/>
  <c r="Q190" i="14"/>
  <c r="F191" i="17" s="1"/>
  <c r="A191" i="17"/>
  <c r="Z190" i="14"/>
  <c r="O191" i="17" s="1"/>
  <c r="AB191" i="14"/>
  <c r="Q192" i="17" s="1"/>
  <c r="AC191" i="14"/>
  <c r="R192" i="17" s="1"/>
  <c r="B194" i="17"/>
  <c r="G193" i="14"/>
  <c r="T57" i="15" s="1"/>
  <c r="J190" i="17"/>
  <c r="H190" i="17"/>
  <c r="E192" i="14"/>
  <c r="J192" i="14"/>
  <c r="K192" i="14" s="1"/>
  <c r="AD192" i="14" s="1"/>
  <c r="S193" i="17" s="1"/>
  <c r="D193" i="14"/>
  <c r="C193" i="14"/>
  <c r="B193" i="14"/>
  <c r="A193" i="14"/>
  <c r="I193" i="14"/>
  <c r="L191" i="14"/>
  <c r="Q54" i="15"/>
  <c r="S56" i="15"/>
  <c r="R56" i="15"/>
  <c r="P56" i="15"/>
  <c r="M194" i="14"/>
  <c r="O193" i="14"/>
  <c r="D194" i="17" s="1"/>
  <c r="O57" i="15"/>
  <c r="N193" i="14"/>
  <c r="C194" i="17" s="1"/>
  <c r="P193" i="14"/>
  <c r="E194" i="17" s="1"/>
  <c r="J191" i="17" l="1"/>
  <c r="Q191" i="14"/>
  <c r="F192" i="17" s="1"/>
  <c r="L192" i="17"/>
  <c r="H192" i="17"/>
  <c r="F192" i="14"/>
  <c r="H192" i="14"/>
  <c r="AA191" i="14"/>
  <c r="P192" i="17" s="1"/>
  <c r="Y191" i="14"/>
  <c r="N192" i="17" s="1"/>
  <c r="A192" i="17"/>
  <c r="Z191" i="14"/>
  <c r="O192" i="17" s="1"/>
  <c r="B195" i="17"/>
  <c r="G194" i="14"/>
  <c r="T58" i="15" s="1"/>
  <c r="AB192" i="14"/>
  <c r="Q193" i="17" s="1"/>
  <c r="AC192" i="14"/>
  <c r="R193" i="17" s="1"/>
  <c r="L192" i="14"/>
  <c r="J193" i="14"/>
  <c r="K193" i="14" s="1"/>
  <c r="AD193" i="14" s="1"/>
  <c r="S194" i="17" s="1"/>
  <c r="E193" i="14"/>
  <c r="I194" i="14"/>
  <c r="A194" i="14"/>
  <c r="D194" i="14"/>
  <c r="C194" i="14"/>
  <c r="B194" i="14"/>
  <c r="R57" i="15"/>
  <c r="S57" i="15"/>
  <c r="Q55" i="15"/>
  <c r="P57" i="15"/>
  <c r="M195" i="14"/>
  <c r="N194" i="14"/>
  <c r="C195" i="17" s="1"/>
  <c r="O194" i="14"/>
  <c r="D195" i="17" s="1"/>
  <c r="P194" i="14"/>
  <c r="E195" i="17" s="1"/>
  <c r="O58" i="15"/>
  <c r="Q192" i="14" l="1"/>
  <c r="F193" i="17" s="1"/>
  <c r="L193" i="17"/>
  <c r="H193" i="17"/>
  <c r="J192" i="17"/>
  <c r="F193" i="14"/>
  <c r="H193" i="14"/>
  <c r="AA192" i="14"/>
  <c r="P193" i="17" s="1"/>
  <c r="Y192" i="14"/>
  <c r="N193" i="17" s="1"/>
  <c r="A193" i="17"/>
  <c r="Z192" i="14"/>
  <c r="O193" i="17" s="1"/>
  <c r="L193" i="14"/>
  <c r="AC193" i="14"/>
  <c r="R194" i="17" s="1"/>
  <c r="AB193" i="14"/>
  <c r="Q194" i="17" s="1"/>
  <c r="B196" i="17"/>
  <c r="G195" i="14"/>
  <c r="T59" i="15" s="1"/>
  <c r="J194" i="14"/>
  <c r="K194" i="14" s="1"/>
  <c r="AD194" i="14" s="1"/>
  <c r="S195" i="17" s="1"/>
  <c r="C195" i="14"/>
  <c r="B195" i="14"/>
  <c r="I195" i="14"/>
  <c r="D195" i="14"/>
  <c r="A195" i="14"/>
  <c r="E194" i="14"/>
  <c r="R58" i="15"/>
  <c r="S58" i="15"/>
  <c r="Q56" i="15"/>
  <c r="N195" i="14"/>
  <c r="C196" i="17" s="1"/>
  <c r="O195" i="14"/>
  <c r="D196" i="17" s="1"/>
  <c r="O59" i="15"/>
  <c r="P195" i="14"/>
  <c r="E196" i="17" s="1"/>
  <c r="M196" i="14"/>
  <c r="P58" i="15"/>
  <c r="Q193" i="14" l="1"/>
  <c r="F194" i="17" s="1"/>
  <c r="W193" i="14"/>
  <c r="L194" i="17" s="1"/>
  <c r="S193" i="14"/>
  <c r="H194" i="17" s="1"/>
  <c r="J193" i="17"/>
  <c r="F194" i="14"/>
  <c r="H194" i="14"/>
  <c r="AA193" i="14"/>
  <c r="P194" i="17" s="1"/>
  <c r="Y193" i="14"/>
  <c r="N194" i="17" s="1"/>
  <c r="A194" i="17"/>
  <c r="Z193" i="14"/>
  <c r="O194" i="17" s="1"/>
  <c r="AC194" i="14"/>
  <c r="R195" i="17" s="1"/>
  <c r="AB194" i="14"/>
  <c r="Q195" i="17" s="1"/>
  <c r="B197" i="17"/>
  <c r="G196" i="14"/>
  <c r="T60" i="15" s="1"/>
  <c r="C196" i="14"/>
  <c r="B196" i="14"/>
  <c r="I196" i="14"/>
  <c r="A196" i="14"/>
  <c r="D196" i="14"/>
  <c r="E195" i="14"/>
  <c r="L194" i="14"/>
  <c r="J195" i="14"/>
  <c r="K195" i="14" s="1"/>
  <c r="AD195" i="14" s="1"/>
  <c r="S196" i="17" s="1"/>
  <c r="S59" i="15"/>
  <c r="Q57" i="15"/>
  <c r="R59" i="15"/>
  <c r="P196" i="14"/>
  <c r="E197" i="17" s="1"/>
  <c r="N196" i="14"/>
  <c r="C197" i="17" s="1"/>
  <c r="M197" i="14"/>
  <c r="O60" i="15"/>
  <c r="O196" i="14"/>
  <c r="D197" i="17" s="1"/>
  <c r="P59" i="15"/>
  <c r="U193" i="14" l="1"/>
  <c r="J194" i="17" s="1"/>
  <c r="Q194" i="14"/>
  <c r="F195" i="17" s="1"/>
  <c r="L195" i="17"/>
  <c r="AA194" i="14"/>
  <c r="P195" i="17" s="1"/>
  <c r="Y194" i="14"/>
  <c r="N195" i="17" s="1"/>
  <c r="F195" i="14"/>
  <c r="H195" i="14"/>
  <c r="A195" i="17"/>
  <c r="Z194" i="14"/>
  <c r="O195" i="17" s="1"/>
  <c r="B198" i="17"/>
  <c r="G197" i="14"/>
  <c r="T61" i="15" s="1"/>
  <c r="AC195" i="14"/>
  <c r="R196" i="17" s="1"/>
  <c r="AB195" i="14"/>
  <c r="Q196" i="17" s="1"/>
  <c r="E196" i="14"/>
  <c r="L195" i="14"/>
  <c r="J196" i="14"/>
  <c r="K196" i="14" s="1"/>
  <c r="AD196" i="14" s="1"/>
  <c r="S197" i="17" s="1"/>
  <c r="I197" i="14"/>
  <c r="A197" i="14"/>
  <c r="D197" i="14"/>
  <c r="C197" i="14"/>
  <c r="B197" i="14"/>
  <c r="S60" i="15"/>
  <c r="R60" i="15"/>
  <c r="Q58" i="15"/>
  <c r="P60" i="15"/>
  <c r="M198" i="14"/>
  <c r="O61" i="15"/>
  <c r="P197" i="14"/>
  <c r="E198" i="17" s="1"/>
  <c r="O197" i="14"/>
  <c r="D198" i="17" s="1"/>
  <c r="N197" i="14"/>
  <c r="C198" i="17" s="1"/>
  <c r="Q195" i="14" l="1"/>
  <c r="F196" i="17" s="1"/>
  <c r="L196" i="17"/>
  <c r="AA195" i="14"/>
  <c r="P196" i="17" s="1"/>
  <c r="Y195" i="14"/>
  <c r="N196" i="17" s="1"/>
  <c r="F196" i="14"/>
  <c r="H196" i="14"/>
  <c r="A196" i="17"/>
  <c r="Z195" i="14"/>
  <c r="O196" i="17" s="1"/>
  <c r="B199" i="17"/>
  <c r="G198" i="14"/>
  <c r="T62" i="15" s="1"/>
  <c r="AC196" i="14"/>
  <c r="R197" i="17" s="1"/>
  <c r="AB196" i="14"/>
  <c r="Q197" i="17" s="1"/>
  <c r="J195" i="17"/>
  <c r="H195" i="17"/>
  <c r="L196" i="14"/>
  <c r="E197" i="14"/>
  <c r="J197" i="14"/>
  <c r="K197" i="14" s="1"/>
  <c r="AD197" i="14" s="1"/>
  <c r="S198" i="17" s="1"/>
  <c r="C198" i="14"/>
  <c r="I198" i="14"/>
  <c r="B198" i="14"/>
  <c r="A198" i="14"/>
  <c r="D198" i="14"/>
  <c r="Q59" i="15"/>
  <c r="R61" i="15"/>
  <c r="S61" i="15"/>
  <c r="P198" i="14"/>
  <c r="E199" i="17" s="1"/>
  <c r="O198" i="14"/>
  <c r="D199" i="17" s="1"/>
  <c r="M199" i="14"/>
  <c r="N198" i="14"/>
  <c r="C199" i="17" s="1"/>
  <c r="O62" i="15"/>
  <c r="P61" i="15"/>
  <c r="Q196" i="14" l="1"/>
  <c r="F197" i="17" s="1"/>
  <c r="L197" i="17"/>
  <c r="F197" i="14"/>
  <c r="H197" i="14"/>
  <c r="AA196" i="14"/>
  <c r="P197" i="17" s="1"/>
  <c r="Y196" i="14"/>
  <c r="N197" i="17" s="1"/>
  <c r="A197" i="17"/>
  <c r="Z196" i="14"/>
  <c r="O197" i="17" s="1"/>
  <c r="B200" i="17"/>
  <c r="G199" i="14"/>
  <c r="T63" i="15" s="1"/>
  <c r="AC197" i="14"/>
  <c r="R198" i="17" s="1"/>
  <c r="AB197" i="14"/>
  <c r="Q198" i="17" s="1"/>
  <c r="J196" i="17"/>
  <c r="H196" i="17"/>
  <c r="L197" i="14"/>
  <c r="E198" i="14"/>
  <c r="D199" i="14"/>
  <c r="C199" i="14"/>
  <c r="I199" i="14"/>
  <c r="B199" i="14"/>
  <c r="A199" i="14"/>
  <c r="J198" i="14"/>
  <c r="K198" i="14" s="1"/>
  <c r="AD198" i="14" s="1"/>
  <c r="S199" i="17" s="1"/>
  <c r="Q60" i="15"/>
  <c r="S62" i="15"/>
  <c r="R62" i="15"/>
  <c r="P62" i="15"/>
  <c r="N199" i="14"/>
  <c r="C200" i="17" s="1"/>
  <c r="O199" i="14"/>
  <c r="D200" i="17" s="1"/>
  <c r="M200" i="14"/>
  <c r="P199" i="14"/>
  <c r="E200" i="17" s="1"/>
  <c r="O63" i="15"/>
  <c r="H197" i="17" l="1"/>
  <c r="Q197" i="14"/>
  <c r="F198" i="17" s="1"/>
  <c r="L198" i="17"/>
  <c r="H198" i="17"/>
  <c r="AA197" i="14"/>
  <c r="P198" i="17" s="1"/>
  <c r="Y197" i="14"/>
  <c r="N198" i="17" s="1"/>
  <c r="F198" i="14"/>
  <c r="H198" i="14"/>
  <c r="A198" i="17"/>
  <c r="Z197" i="14"/>
  <c r="O198" i="17" s="1"/>
  <c r="AC198" i="14"/>
  <c r="R199" i="17" s="1"/>
  <c r="AB198" i="14"/>
  <c r="Q199" i="17" s="1"/>
  <c r="B201" i="17"/>
  <c r="G200" i="14"/>
  <c r="T64" i="15" s="1"/>
  <c r="J197" i="17"/>
  <c r="E199" i="14"/>
  <c r="L198" i="14"/>
  <c r="I200" i="14"/>
  <c r="A200" i="14"/>
  <c r="D200" i="14"/>
  <c r="C200" i="14"/>
  <c r="B200" i="14"/>
  <c r="J199" i="14"/>
  <c r="K199" i="14" s="1"/>
  <c r="AD199" i="14" s="1"/>
  <c r="S200" i="17" s="1"/>
  <c r="Q61" i="15"/>
  <c r="R63" i="15"/>
  <c r="S63" i="15"/>
  <c r="O200" i="14"/>
  <c r="D201" i="17" s="1"/>
  <c r="M201" i="14"/>
  <c r="P200" i="14"/>
  <c r="E201" i="17" s="1"/>
  <c r="O64" i="15"/>
  <c r="N200" i="14"/>
  <c r="C201" i="17" s="1"/>
  <c r="P63" i="15"/>
  <c r="J198" i="17" l="1"/>
  <c r="Q198" i="14"/>
  <c r="L199" i="17"/>
  <c r="H199" i="17"/>
  <c r="F199" i="14"/>
  <c r="H199" i="14"/>
  <c r="AA198" i="14"/>
  <c r="P199" i="17" s="1"/>
  <c r="Y198" i="14"/>
  <c r="N199" i="17" s="1"/>
  <c r="A199" i="17"/>
  <c r="Z198" i="14"/>
  <c r="O199" i="17" s="1"/>
  <c r="B202" i="17"/>
  <c r="G201" i="14"/>
  <c r="T65" i="15" s="1"/>
  <c r="AB199" i="14"/>
  <c r="Q200" i="17" s="1"/>
  <c r="AC199" i="14"/>
  <c r="R200" i="17" s="1"/>
  <c r="L199" i="14"/>
  <c r="J200" i="14"/>
  <c r="K200" i="14" s="1"/>
  <c r="AD200" i="14" s="1"/>
  <c r="S201" i="17" s="1"/>
  <c r="E200" i="14"/>
  <c r="F199" i="17"/>
  <c r="C201" i="14"/>
  <c r="B201" i="14"/>
  <c r="I201" i="14"/>
  <c r="A201" i="14"/>
  <c r="D201" i="14"/>
  <c r="Q62" i="15"/>
  <c r="S64" i="15"/>
  <c r="R64" i="15"/>
  <c r="P64" i="15"/>
  <c r="O65" i="15"/>
  <c r="M205" i="14"/>
  <c r="N201" i="14"/>
  <c r="C202" i="17" s="1"/>
  <c r="O201" i="14"/>
  <c r="D202" i="17" s="1"/>
  <c r="P201" i="14"/>
  <c r="E202" i="17" s="1"/>
  <c r="Q199" i="14" l="1"/>
  <c r="F200" i="17" s="1"/>
  <c r="L200" i="17"/>
  <c r="H200" i="17"/>
  <c r="J199" i="17"/>
  <c r="F200" i="14"/>
  <c r="H200" i="14"/>
  <c r="AA199" i="14"/>
  <c r="P200" i="17" s="1"/>
  <c r="Y199" i="14"/>
  <c r="N200" i="17" s="1"/>
  <c r="A200" i="17"/>
  <c r="Z199" i="14"/>
  <c r="O200" i="17" s="1"/>
  <c r="L200" i="14"/>
  <c r="AB200" i="14"/>
  <c r="Q201" i="17" s="1"/>
  <c r="AC200" i="14"/>
  <c r="R201" i="17" s="1"/>
  <c r="B206" i="17"/>
  <c r="G205" i="14"/>
  <c r="AA4" i="15" s="1"/>
  <c r="E201" i="14"/>
  <c r="J201" i="14"/>
  <c r="K201" i="14" s="1"/>
  <c r="AD201" i="14" s="1"/>
  <c r="S202" i="17" s="1"/>
  <c r="I205" i="14"/>
  <c r="A205" i="14"/>
  <c r="D205" i="14"/>
  <c r="C205" i="14"/>
  <c r="B205" i="14"/>
  <c r="R65" i="15"/>
  <c r="Q63" i="15"/>
  <c r="S65" i="15"/>
  <c r="P65" i="15"/>
  <c r="O205" i="14"/>
  <c r="D206" i="17" s="1"/>
  <c r="P205" i="14"/>
  <c r="E206" i="17" s="1"/>
  <c r="M206" i="14"/>
  <c r="N205" i="14"/>
  <c r="C206" i="17" s="1"/>
  <c r="V4" i="15"/>
  <c r="Q200" i="14" l="1"/>
  <c r="F201" i="17" s="1"/>
  <c r="W200" i="14"/>
  <c r="L201" i="17" s="1"/>
  <c r="S200" i="14"/>
  <c r="H201" i="17" s="1"/>
  <c r="J200" i="17"/>
  <c r="F201" i="14"/>
  <c r="H201" i="14"/>
  <c r="AA200" i="14"/>
  <c r="P201" i="17" s="1"/>
  <c r="Y200" i="14"/>
  <c r="N201" i="17" s="1"/>
  <c r="A201" i="17"/>
  <c r="Z200" i="14"/>
  <c r="O201" i="17" s="1"/>
  <c r="B207" i="17"/>
  <c r="G206" i="14"/>
  <c r="AA5" i="15" s="1"/>
  <c r="AC201" i="14"/>
  <c r="R202" i="17" s="1"/>
  <c r="AB201" i="14"/>
  <c r="Q202" i="17" s="1"/>
  <c r="E205" i="14"/>
  <c r="J205" i="14"/>
  <c r="K205" i="14" s="1"/>
  <c r="AD205" i="14" s="1"/>
  <c r="S206" i="17" s="1"/>
  <c r="C206" i="14"/>
  <c r="B206" i="14"/>
  <c r="I206" i="14"/>
  <c r="A206" i="14"/>
  <c r="D206" i="14"/>
  <c r="L201" i="14"/>
  <c r="Z4" i="15"/>
  <c r="Y4" i="15"/>
  <c r="Q64" i="15"/>
  <c r="W4" i="15"/>
  <c r="N206" i="14"/>
  <c r="C207" i="17" s="1"/>
  <c r="P206" i="14"/>
  <c r="E207" i="17" s="1"/>
  <c r="V5" i="15"/>
  <c r="M207" i="14"/>
  <c r="O206" i="14"/>
  <c r="D207" i="17" s="1"/>
  <c r="Q201" i="14" l="1"/>
  <c r="F202" i="17" s="1"/>
  <c r="F204" i="17" s="1"/>
  <c r="L202" i="17"/>
  <c r="AA201" i="14"/>
  <c r="P202" i="17" s="1"/>
  <c r="Y201" i="14"/>
  <c r="N202" i="17" s="1"/>
  <c r="U200" i="14"/>
  <c r="J201" i="17" s="1"/>
  <c r="F205" i="14"/>
  <c r="H205" i="14"/>
  <c r="A202" i="17"/>
  <c r="Z201" i="14"/>
  <c r="O202" i="17" s="1"/>
  <c r="B208" i="17"/>
  <c r="G207" i="14"/>
  <c r="AA6" i="15" s="1"/>
  <c r="L205" i="14"/>
  <c r="AC205" i="14"/>
  <c r="R206" i="17" s="1"/>
  <c r="AB205" i="14"/>
  <c r="Q206" i="17" s="1"/>
  <c r="E206" i="14"/>
  <c r="J206" i="14"/>
  <c r="K206" i="14" s="1"/>
  <c r="AD206" i="14" s="1"/>
  <c r="S207" i="17" s="1"/>
  <c r="I207" i="14"/>
  <c r="A207" i="14"/>
  <c r="D207" i="14"/>
  <c r="C207" i="14"/>
  <c r="B207" i="14"/>
  <c r="Z5" i="15"/>
  <c r="Q65" i="15"/>
  <c r="Y5" i="15"/>
  <c r="W5" i="15"/>
  <c r="M208" i="14"/>
  <c r="O207" i="14"/>
  <c r="D208" i="17" s="1"/>
  <c r="N207" i="14"/>
  <c r="C208" i="17" s="1"/>
  <c r="V6" i="15"/>
  <c r="P207" i="14"/>
  <c r="E208" i="17" s="1"/>
  <c r="Q205" i="14" l="1"/>
  <c r="F206" i="17" s="1"/>
  <c r="L206" i="17"/>
  <c r="J206" i="17"/>
  <c r="F206" i="14"/>
  <c r="H206" i="14"/>
  <c r="AA205" i="14"/>
  <c r="P206" i="17" s="1"/>
  <c r="Y205" i="14"/>
  <c r="N206" i="17" s="1"/>
  <c r="A206" i="17"/>
  <c r="Z205" i="14"/>
  <c r="O206" i="17" s="1"/>
  <c r="L206" i="14"/>
  <c r="AC206" i="14"/>
  <c r="R207" i="17" s="1"/>
  <c r="AB206" i="14"/>
  <c r="Q207" i="17" s="1"/>
  <c r="B209" i="17"/>
  <c r="G208" i="14"/>
  <c r="AA7" i="15" s="1"/>
  <c r="J202" i="17"/>
  <c r="H202" i="17"/>
  <c r="AA410" i="17"/>
  <c r="J207" i="14"/>
  <c r="K207" i="14" s="1"/>
  <c r="AD207" i="14" s="1"/>
  <c r="S208" i="17" s="1"/>
  <c r="E207" i="14"/>
  <c r="C208" i="14"/>
  <c r="I208" i="14"/>
  <c r="B208" i="14"/>
  <c r="A208" i="14"/>
  <c r="D208" i="14"/>
  <c r="X4" i="15"/>
  <c r="Y6" i="15"/>
  <c r="Z6" i="15"/>
  <c r="W6" i="15"/>
  <c r="M209" i="14"/>
  <c r="V7" i="15"/>
  <c r="P208" i="14"/>
  <c r="E209" i="17" s="1"/>
  <c r="N208" i="14"/>
  <c r="C209" i="17" s="1"/>
  <c r="O208" i="14"/>
  <c r="D209" i="17" s="1"/>
  <c r="H206" i="17" l="1"/>
  <c r="Q206" i="14"/>
  <c r="F207" i="17" s="1"/>
  <c r="L207" i="17"/>
  <c r="H207" i="17"/>
  <c r="F207" i="14"/>
  <c r="H207" i="14"/>
  <c r="AA206" i="14"/>
  <c r="P207" i="17" s="1"/>
  <c r="Y206" i="14"/>
  <c r="N207" i="17" s="1"/>
  <c r="A207" i="17"/>
  <c r="Z206" i="14"/>
  <c r="O207" i="17" s="1"/>
  <c r="B210" i="17"/>
  <c r="G209" i="14"/>
  <c r="AA8" i="15" s="1"/>
  <c r="AC207" i="14"/>
  <c r="R208" i="17" s="1"/>
  <c r="AB207" i="14"/>
  <c r="Q208" i="17" s="1"/>
  <c r="E208" i="14"/>
  <c r="L207" i="14"/>
  <c r="D209" i="14"/>
  <c r="C209" i="14"/>
  <c r="B209" i="14"/>
  <c r="I209" i="14"/>
  <c r="A209" i="14"/>
  <c r="J208" i="14"/>
  <c r="K208" i="14" s="1"/>
  <c r="AD208" i="14" s="1"/>
  <c r="S209" i="17" s="1"/>
  <c r="Z7" i="15"/>
  <c r="X5" i="15"/>
  <c r="Y7" i="15"/>
  <c r="V8" i="15"/>
  <c r="M210" i="14"/>
  <c r="O209" i="14"/>
  <c r="D210" i="17" s="1"/>
  <c r="P209" i="14"/>
  <c r="E210" i="17" s="1"/>
  <c r="N209" i="14"/>
  <c r="C210" i="17" s="1"/>
  <c r="W7" i="15"/>
  <c r="Z190" i="17" l="1"/>
  <c r="J207" i="17"/>
  <c r="Q207" i="14"/>
  <c r="F208" i="17" s="1"/>
  <c r="L208" i="17"/>
  <c r="H208" i="17"/>
  <c r="F208" i="14"/>
  <c r="H208" i="14"/>
  <c r="AA207" i="14"/>
  <c r="P208" i="17" s="1"/>
  <c r="Y207" i="14"/>
  <c r="N208" i="17" s="1"/>
  <c r="A208" i="17"/>
  <c r="Z207" i="14"/>
  <c r="O208" i="17" s="1"/>
  <c r="AC208" i="14"/>
  <c r="R209" i="17" s="1"/>
  <c r="AB208" i="14"/>
  <c r="Q209" i="17" s="1"/>
  <c r="B211" i="17"/>
  <c r="G210" i="14"/>
  <c r="AA9" i="15" s="1"/>
  <c r="X6" i="15"/>
  <c r="L208" i="14"/>
  <c r="B210" i="14"/>
  <c r="I210" i="14"/>
  <c r="A210" i="14"/>
  <c r="D210" i="14"/>
  <c r="C210" i="14"/>
  <c r="J209" i="14"/>
  <c r="K209" i="14" s="1"/>
  <c r="AD209" i="14" s="1"/>
  <c r="S210" i="17" s="1"/>
  <c r="E209" i="14"/>
  <c r="Z8" i="15"/>
  <c r="Y8" i="15"/>
  <c r="W8" i="15"/>
  <c r="O210" i="14"/>
  <c r="D211" i="17" s="1"/>
  <c r="P210" i="14"/>
  <c r="E211" i="17" s="1"/>
  <c r="N210" i="14"/>
  <c r="C211" i="17" s="1"/>
  <c r="V9" i="15"/>
  <c r="M211" i="14"/>
  <c r="AC190" i="17" l="1"/>
  <c r="AC191" i="17" s="1"/>
  <c r="AC192" i="17" s="1"/>
  <c r="AC410" i="17" s="1"/>
  <c r="AA190" i="17"/>
  <c r="AB410" i="17" s="1"/>
  <c r="Q208" i="14"/>
  <c r="F209" i="17" s="1"/>
  <c r="L209" i="17"/>
  <c r="H209" i="17"/>
  <c r="J208" i="17"/>
  <c r="F209" i="14"/>
  <c r="H209" i="14"/>
  <c r="AA208" i="14"/>
  <c r="P209" i="17" s="1"/>
  <c r="Y208" i="14"/>
  <c r="N209" i="17" s="1"/>
  <c r="A209" i="17"/>
  <c r="Z208" i="14"/>
  <c r="O209" i="17" s="1"/>
  <c r="B212" i="17"/>
  <c r="G211" i="14"/>
  <c r="AA10" i="15" s="1"/>
  <c r="AC209" i="14"/>
  <c r="R210" i="17" s="1"/>
  <c r="AB209" i="14"/>
  <c r="Q210" i="17" s="1"/>
  <c r="E210" i="14"/>
  <c r="L209" i="14"/>
  <c r="D211" i="14"/>
  <c r="C211" i="14"/>
  <c r="B211" i="14"/>
  <c r="I211" i="14"/>
  <c r="A211" i="14"/>
  <c r="J210" i="14"/>
  <c r="K210" i="14" s="1"/>
  <c r="AD210" i="14" s="1"/>
  <c r="S211" i="17" s="1"/>
  <c r="Z9" i="15"/>
  <c r="Y9" i="15"/>
  <c r="X7" i="15"/>
  <c r="P211" i="14"/>
  <c r="E212" i="17" s="1"/>
  <c r="M212" i="14"/>
  <c r="N211" i="14"/>
  <c r="C212" i="17" s="1"/>
  <c r="O211" i="14"/>
  <c r="D212" i="17" s="1"/>
  <c r="V10" i="15"/>
  <c r="W9" i="15"/>
  <c r="Q209" i="14" l="1"/>
  <c r="F210" i="17" s="1"/>
  <c r="L210" i="17"/>
  <c r="H210" i="17"/>
  <c r="J209" i="17"/>
  <c r="F210" i="14"/>
  <c r="H210" i="14"/>
  <c r="AA209" i="14"/>
  <c r="P210" i="17" s="1"/>
  <c r="Y209" i="14"/>
  <c r="N210" i="17" s="1"/>
  <c r="A210" i="17"/>
  <c r="Z209" i="14"/>
  <c r="O210" i="17" s="1"/>
  <c r="B213" i="17"/>
  <c r="G212" i="14"/>
  <c r="AA11" i="15" s="1"/>
  <c r="AB210" i="14"/>
  <c r="Q211" i="17" s="1"/>
  <c r="AC210" i="14"/>
  <c r="R211" i="17" s="1"/>
  <c r="L210" i="14"/>
  <c r="J211" i="14"/>
  <c r="K211" i="14" s="1"/>
  <c r="AD211" i="14" s="1"/>
  <c r="S212" i="17" s="1"/>
  <c r="I212" i="14"/>
  <c r="B212" i="14"/>
  <c r="A212" i="14"/>
  <c r="D212" i="14"/>
  <c r="C212" i="14"/>
  <c r="E211" i="14"/>
  <c r="Y10" i="15"/>
  <c r="Z10" i="15"/>
  <c r="X8" i="15"/>
  <c r="W10" i="15"/>
  <c r="O212" i="14"/>
  <c r="D213" i="17" s="1"/>
  <c r="M213" i="14"/>
  <c r="N212" i="14"/>
  <c r="C213" i="17" s="1"/>
  <c r="V11" i="15"/>
  <c r="P212" i="14"/>
  <c r="E213" i="17" s="1"/>
  <c r="Q210" i="14" l="1"/>
  <c r="F211" i="17" s="1"/>
  <c r="W210" i="14"/>
  <c r="L211" i="17" s="1"/>
  <c r="S210" i="14"/>
  <c r="H211" i="17" s="1"/>
  <c r="J210" i="17"/>
  <c r="F211" i="14"/>
  <c r="H211" i="14"/>
  <c r="AA210" i="14"/>
  <c r="P211" i="17" s="1"/>
  <c r="Y210" i="14"/>
  <c r="N211" i="17" s="1"/>
  <c r="A211" i="17"/>
  <c r="Z210" i="14"/>
  <c r="O211" i="17" s="1"/>
  <c r="L211" i="14"/>
  <c r="AB211" i="14"/>
  <c r="Q212" i="17" s="1"/>
  <c r="AC211" i="14"/>
  <c r="R212" i="17" s="1"/>
  <c r="B214" i="17"/>
  <c r="G213" i="14"/>
  <c r="AA12" i="15" s="1"/>
  <c r="E212" i="14"/>
  <c r="C213" i="14"/>
  <c r="B213" i="14"/>
  <c r="I213" i="14"/>
  <c r="A213" i="14"/>
  <c r="D213" i="14"/>
  <c r="J212" i="14"/>
  <c r="K212" i="14" s="1"/>
  <c r="AD212" i="14" s="1"/>
  <c r="S213" i="17" s="1"/>
  <c r="Z11" i="15"/>
  <c r="Y11" i="15"/>
  <c r="X9" i="15"/>
  <c r="N213" i="14"/>
  <c r="C214" i="17" s="1"/>
  <c r="M214" i="14"/>
  <c r="P213" i="14"/>
  <c r="E214" i="17" s="1"/>
  <c r="V12" i="15"/>
  <c r="O213" i="14"/>
  <c r="D214" i="17" s="1"/>
  <c r="W11" i="15"/>
  <c r="Q211" i="14" l="1"/>
  <c r="F212" i="17" s="1"/>
  <c r="L212" i="17"/>
  <c r="H212" i="17"/>
  <c r="Y211" i="14"/>
  <c r="N212" i="17" s="1"/>
  <c r="AA211" i="14"/>
  <c r="P212" i="17" s="1"/>
  <c r="U210" i="14"/>
  <c r="J211" i="17" s="1"/>
  <c r="F212" i="14"/>
  <c r="H212" i="14"/>
  <c r="A212" i="17"/>
  <c r="Z211" i="14"/>
  <c r="O212" i="17" s="1"/>
  <c r="B215" i="17"/>
  <c r="G214" i="14"/>
  <c r="AA13" i="15" s="1"/>
  <c r="AC212" i="14"/>
  <c r="R213" i="17" s="1"/>
  <c r="AB212" i="14"/>
  <c r="Q213" i="17" s="1"/>
  <c r="E213" i="14"/>
  <c r="L212" i="14"/>
  <c r="J213" i="14"/>
  <c r="K213" i="14" s="1"/>
  <c r="AD213" i="14" s="1"/>
  <c r="S214" i="17" s="1"/>
  <c r="I214" i="14"/>
  <c r="A214" i="14"/>
  <c r="D214" i="14"/>
  <c r="C214" i="14"/>
  <c r="B214" i="14"/>
  <c r="Z12" i="15"/>
  <c r="X10" i="15"/>
  <c r="Y12" i="15"/>
  <c r="V13" i="15"/>
  <c r="O214" i="14"/>
  <c r="D215" i="17" s="1"/>
  <c r="M215" i="14"/>
  <c r="N214" i="14"/>
  <c r="C215" i="17" s="1"/>
  <c r="P214" i="14"/>
  <c r="E215" i="17" s="1"/>
  <c r="W12" i="15"/>
  <c r="J212" i="17" l="1"/>
  <c r="Q212" i="14"/>
  <c r="F213" i="17" s="1"/>
  <c r="L213" i="17"/>
  <c r="F213" i="14"/>
  <c r="H213" i="14"/>
  <c r="AA212" i="14"/>
  <c r="P213" i="17" s="1"/>
  <c r="Y212" i="14"/>
  <c r="N213" i="17" s="1"/>
  <c r="A213" i="17"/>
  <c r="Z212" i="14"/>
  <c r="O213" i="17" s="1"/>
  <c r="B216" i="17"/>
  <c r="G215" i="14"/>
  <c r="AA14" i="15" s="1"/>
  <c r="AC213" i="14"/>
  <c r="R214" i="17" s="1"/>
  <c r="AB213" i="14"/>
  <c r="Q214" i="17" s="1"/>
  <c r="L213" i="14"/>
  <c r="J214" i="14"/>
  <c r="K214" i="14" s="1"/>
  <c r="AD214" i="14" s="1"/>
  <c r="S215" i="17" s="1"/>
  <c r="C215" i="14"/>
  <c r="B215" i="14"/>
  <c r="I215" i="14"/>
  <c r="A215" i="14"/>
  <c r="D215" i="14"/>
  <c r="E214" i="14"/>
  <c r="Y13" i="15"/>
  <c r="Z13" i="15"/>
  <c r="X11" i="15"/>
  <c r="P215" i="14"/>
  <c r="E216" i="17" s="1"/>
  <c r="N215" i="14"/>
  <c r="C216" i="17" s="1"/>
  <c r="V14" i="15"/>
  <c r="O215" i="14"/>
  <c r="D216" i="17" s="1"/>
  <c r="M216" i="14"/>
  <c r="W13" i="15"/>
  <c r="H213" i="17" l="1"/>
  <c r="Q213" i="14"/>
  <c r="F214" i="17" s="1"/>
  <c r="L214" i="17"/>
  <c r="F214" i="14"/>
  <c r="H214" i="14"/>
  <c r="AA213" i="14"/>
  <c r="P214" i="17" s="1"/>
  <c r="Y213" i="14"/>
  <c r="N214" i="17" s="1"/>
  <c r="A214" i="17"/>
  <c r="Z213" i="14"/>
  <c r="O214" i="17" s="1"/>
  <c r="B217" i="17"/>
  <c r="G216" i="14"/>
  <c r="AA15" i="15" s="1"/>
  <c r="L214" i="14"/>
  <c r="AC214" i="14"/>
  <c r="R215" i="17" s="1"/>
  <c r="AB214" i="14"/>
  <c r="Q215" i="17" s="1"/>
  <c r="E215" i="14"/>
  <c r="J215" i="14"/>
  <c r="K215" i="14" s="1"/>
  <c r="AD215" i="14" s="1"/>
  <c r="S216" i="17" s="1"/>
  <c r="J213" i="17"/>
  <c r="A216" i="14"/>
  <c r="D216" i="14"/>
  <c r="C216" i="14"/>
  <c r="I216" i="14"/>
  <c r="B216" i="14"/>
  <c r="Y14" i="15"/>
  <c r="X12" i="15"/>
  <c r="Z14" i="15"/>
  <c r="N216" i="14"/>
  <c r="C217" i="17" s="1"/>
  <c r="V15" i="15"/>
  <c r="M217" i="14"/>
  <c r="O216" i="14"/>
  <c r="D217" i="17" s="1"/>
  <c r="P216" i="14"/>
  <c r="E217" i="17" s="1"/>
  <c r="W14" i="15"/>
  <c r="L215" i="17" l="1"/>
  <c r="H215" i="17"/>
  <c r="F215" i="14"/>
  <c r="H215" i="14"/>
  <c r="AA214" i="14"/>
  <c r="P215" i="17" s="1"/>
  <c r="Y214" i="14"/>
  <c r="N215" i="17" s="1"/>
  <c r="Q214" i="14"/>
  <c r="F215" i="17" s="1"/>
  <c r="A215" i="17"/>
  <c r="Z214" i="14"/>
  <c r="O215" i="17" s="1"/>
  <c r="B218" i="17"/>
  <c r="G217" i="14"/>
  <c r="AA16" i="15" s="1"/>
  <c r="L215" i="14"/>
  <c r="AC215" i="14"/>
  <c r="R216" i="17" s="1"/>
  <c r="AB215" i="14"/>
  <c r="Q216" i="17" s="1"/>
  <c r="J214" i="17"/>
  <c r="H214" i="17"/>
  <c r="E216" i="14"/>
  <c r="J216" i="14"/>
  <c r="K216" i="14" s="1"/>
  <c r="AD216" i="14" s="1"/>
  <c r="S217" i="17" s="1"/>
  <c r="B217" i="14"/>
  <c r="I217" i="14"/>
  <c r="A217" i="14"/>
  <c r="D217" i="14"/>
  <c r="C217" i="14"/>
  <c r="X13" i="15"/>
  <c r="Y15" i="15"/>
  <c r="Z15" i="15"/>
  <c r="P217" i="14"/>
  <c r="E218" i="17" s="1"/>
  <c r="O217" i="14"/>
  <c r="D218" i="17" s="1"/>
  <c r="M218" i="14"/>
  <c r="N217" i="14"/>
  <c r="C218" i="17" s="1"/>
  <c r="V16" i="15"/>
  <c r="W15" i="15"/>
  <c r="Q215" i="14" l="1"/>
  <c r="F216" i="17" s="1"/>
  <c r="L216" i="17"/>
  <c r="H216" i="17"/>
  <c r="F216" i="14"/>
  <c r="H216" i="14"/>
  <c r="AA215" i="14"/>
  <c r="P216" i="17" s="1"/>
  <c r="Y215" i="14"/>
  <c r="N216" i="17" s="1"/>
  <c r="J215" i="17"/>
  <c r="A216" i="17"/>
  <c r="Z215" i="14"/>
  <c r="O216" i="17" s="1"/>
  <c r="B219" i="17"/>
  <c r="G218" i="14"/>
  <c r="AA17" i="15" s="1"/>
  <c r="AC216" i="14"/>
  <c r="R217" i="17" s="1"/>
  <c r="AB216" i="14"/>
  <c r="Q217" i="17" s="1"/>
  <c r="E217" i="14"/>
  <c r="L216" i="14"/>
  <c r="D218" i="14"/>
  <c r="C218" i="14"/>
  <c r="B218" i="14"/>
  <c r="I218" i="14"/>
  <c r="A218" i="14"/>
  <c r="J217" i="14"/>
  <c r="K217" i="14" s="1"/>
  <c r="AD217" i="14" s="1"/>
  <c r="S218" i="17" s="1"/>
  <c r="Y16" i="15"/>
  <c r="X14" i="15"/>
  <c r="Z16" i="15"/>
  <c r="P218" i="14"/>
  <c r="E219" i="17" s="1"/>
  <c r="M219" i="14"/>
  <c r="N218" i="14"/>
  <c r="C219" i="17" s="1"/>
  <c r="V17" i="15"/>
  <c r="O218" i="14"/>
  <c r="D219" i="17" s="1"/>
  <c r="W16" i="15"/>
  <c r="J216" i="17" l="1"/>
  <c r="Q216" i="14"/>
  <c r="F217" i="17" s="1"/>
  <c r="L217" i="17"/>
  <c r="H217" i="17"/>
  <c r="F217" i="14"/>
  <c r="H217" i="14"/>
  <c r="AA216" i="14"/>
  <c r="P217" i="17" s="1"/>
  <c r="Y216" i="14"/>
  <c r="N217" i="17" s="1"/>
  <c r="A217" i="17"/>
  <c r="Z216" i="14"/>
  <c r="O217" i="17" s="1"/>
  <c r="L217" i="14"/>
  <c r="AC217" i="14"/>
  <c r="R218" i="17" s="1"/>
  <c r="AB217" i="14"/>
  <c r="Q218" i="17" s="1"/>
  <c r="B220" i="17"/>
  <c r="G219" i="14"/>
  <c r="AA18" i="15" s="1"/>
  <c r="E218" i="14"/>
  <c r="J218" i="14"/>
  <c r="B219" i="14"/>
  <c r="I219" i="14"/>
  <c r="A219" i="14"/>
  <c r="D219" i="14"/>
  <c r="C219" i="14"/>
  <c r="K218" i="14"/>
  <c r="AD218" i="14" s="1"/>
  <c r="S219" i="17" s="1"/>
  <c r="Z17" i="15"/>
  <c r="Y17" i="15"/>
  <c r="X15" i="15"/>
  <c r="O219" i="14"/>
  <c r="D220" i="17" s="1"/>
  <c r="V18" i="15"/>
  <c r="P219" i="14"/>
  <c r="E220" i="17" s="1"/>
  <c r="N219" i="14"/>
  <c r="C220" i="17" s="1"/>
  <c r="M220" i="14"/>
  <c r="W17" i="15"/>
  <c r="J217" i="17" l="1"/>
  <c r="Q217" i="14"/>
  <c r="F218" i="17" s="1"/>
  <c r="L218" i="17"/>
  <c r="H218" i="17"/>
  <c r="F218" i="14"/>
  <c r="H218" i="14"/>
  <c r="AA217" i="14"/>
  <c r="P218" i="17" s="1"/>
  <c r="Y217" i="14"/>
  <c r="N218" i="17" s="1"/>
  <c r="E219" i="14"/>
  <c r="A218" i="17"/>
  <c r="Z217" i="14"/>
  <c r="O218" i="17" s="1"/>
  <c r="L218" i="14"/>
  <c r="AB218" i="14"/>
  <c r="Q219" i="17" s="1"/>
  <c r="AC218" i="14"/>
  <c r="R219" i="17" s="1"/>
  <c r="B221" i="17"/>
  <c r="G220" i="14"/>
  <c r="AA19" i="15" s="1"/>
  <c r="J219" i="14"/>
  <c r="D220" i="14"/>
  <c r="C220" i="14"/>
  <c r="I220" i="14"/>
  <c r="B220" i="14"/>
  <c r="A220" i="14"/>
  <c r="K219" i="14"/>
  <c r="AD219" i="14" s="1"/>
  <c r="S220" i="17" s="1"/>
  <c r="X16" i="15"/>
  <c r="Y18" i="15"/>
  <c r="Z18" i="15"/>
  <c r="N220" i="14"/>
  <c r="C221" i="17" s="1"/>
  <c r="V19" i="15"/>
  <c r="O220" i="14"/>
  <c r="D221" i="17" s="1"/>
  <c r="P220" i="14"/>
  <c r="E221" i="17" s="1"/>
  <c r="M221" i="14"/>
  <c r="W18" i="15"/>
  <c r="J218" i="17" l="1"/>
  <c r="W218" i="14"/>
  <c r="L219" i="17" s="1"/>
  <c r="S218" i="14"/>
  <c r="U218" i="14" s="1"/>
  <c r="F219" i="14"/>
  <c r="H219" i="14"/>
  <c r="AA218" i="14"/>
  <c r="P219" i="17" s="1"/>
  <c r="Y218" i="14"/>
  <c r="N219" i="17" s="1"/>
  <c r="Q218" i="14"/>
  <c r="F219" i="17" s="1"/>
  <c r="A219" i="17"/>
  <c r="Z218" i="14"/>
  <c r="O219" i="17" s="1"/>
  <c r="B222" i="17"/>
  <c r="G221" i="14"/>
  <c r="AA20" i="15" s="1"/>
  <c r="L219" i="14"/>
  <c r="AB219" i="14"/>
  <c r="Q220" i="17" s="1"/>
  <c r="AC219" i="14"/>
  <c r="R220" i="17" s="1"/>
  <c r="E220" i="14"/>
  <c r="I221" i="14"/>
  <c r="A221" i="14"/>
  <c r="D221" i="14"/>
  <c r="C221" i="14"/>
  <c r="B221" i="14"/>
  <c r="J220" i="14"/>
  <c r="K220" i="14" s="1"/>
  <c r="AD220" i="14" s="1"/>
  <c r="S221" i="17" s="1"/>
  <c r="Y19" i="15"/>
  <c r="Z19" i="15"/>
  <c r="X17" i="15"/>
  <c r="M222" i="14"/>
  <c r="P221" i="14"/>
  <c r="E222" i="17" s="1"/>
  <c r="N221" i="14"/>
  <c r="C222" i="17" s="1"/>
  <c r="O221" i="14"/>
  <c r="D222" i="17" s="1"/>
  <c r="V20" i="15"/>
  <c r="W19" i="15"/>
  <c r="H219" i="17" l="1"/>
  <c r="Q219" i="14"/>
  <c r="F220" i="17" s="1"/>
  <c r="L220" i="17"/>
  <c r="H220" i="17"/>
  <c r="AA219" i="14"/>
  <c r="Y219" i="14"/>
  <c r="N220" i="17" s="1"/>
  <c r="F220" i="14"/>
  <c r="H220" i="14"/>
  <c r="P220" i="17"/>
  <c r="J219" i="17"/>
  <c r="A220" i="17"/>
  <c r="Z219" i="14"/>
  <c r="O220" i="17" s="1"/>
  <c r="L220" i="14"/>
  <c r="AC220" i="14"/>
  <c r="R221" i="17" s="1"/>
  <c r="AB220" i="14"/>
  <c r="Q221" i="17" s="1"/>
  <c r="B223" i="17"/>
  <c r="G222" i="14"/>
  <c r="AA21" i="15" s="1"/>
  <c r="J221" i="14"/>
  <c r="K221" i="14" s="1"/>
  <c r="AD221" i="14" s="1"/>
  <c r="S222" i="17" s="1"/>
  <c r="E221" i="14"/>
  <c r="C222" i="14"/>
  <c r="B222" i="14"/>
  <c r="I222" i="14"/>
  <c r="A222" i="14"/>
  <c r="D222" i="14"/>
  <c r="Z20" i="15"/>
  <c r="Y20" i="15"/>
  <c r="X18" i="15"/>
  <c r="W20" i="15"/>
  <c r="M223" i="14"/>
  <c r="O222" i="14"/>
  <c r="D223" i="17" s="1"/>
  <c r="N222" i="14"/>
  <c r="C223" i="17" s="1"/>
  <c r="V21" i="15"/>
  <c r="P222" i="14"/>
  <c r="E223" i="17" s="1"/>
  <c r="J220" i="17" l="1"/>
  <c r="Q220" i="14"/>
  <c r="F221" i="17" s="1"/>
  <c r="L221" i="17"/>
  <c r="F221" i="14"/>
  <c r="H221" i="14"/>
  <c r="AA220" i="14"/>
  <c r="P221" i="17" s="1"/>
  <c r="Y220" i="14"/>
  <c r="N221" i="17" s="1"/>
  <c r="A221" i="17"/>
  <c r="Z220" i="14"/>
  <c r="O221" i="17" s="1"/>
  <c r="L221" i="14"/>
  <c r="AC221" i="14"/>
  <c r="R222" i="17" s="1"/>
  <c r="AB221" i="14"/>
  <c r="Q222" i="17" s="1"/>
  <c r="B224" i="17"/>
  <c r="G223" i="14"/>
  <c r="AA22" i="15" s="1"/>
  <c r="E222" i="14"/>
  <c r="I223" i="14"/>
  <c r="A223" i="14"/>
  <c r="D223" i="14"/>
  <c r="C223" i="14"/>
  <c r="B223" i="14"/>
  <c r="J222" i="14"/>
  <c r="K222" i="14" s="1"/>
  <c r="AD222" i="14" s="1"/>
  <c r="S223" i="17" s="1"/>
  <c r="Y21" i="15"/>
  <c r="X19" i="15"/>
  <c r="Z21" i="15"/>
  <c r="W21" i="15"/>
  <c r="V22" i="15"/>
  <c r="P223" i="14"/>
  <c r="E224" i="17" s="1"/>
  <c r="M224" i="14"/>
  <c r="N223" i="14"/>
  <c r="C224" i="17" s="1"/>
  <c r="O223" i="14"/>
  <c r="D224" i="17" s="1"/>
  <c r="H221" i="17" l="1"/>
  <c r="L222" i="17"/>
  <c r="H222" i="17"/>
  <c r="F222" i="14"/>
  <c r="H222" i="14"/>
  <c r="AA221" i="14"/>
  <c r="P222" i="17" s="1"/>
  <c r="Y221" i="14"/>
  <c r="N222" i="17" s="1"/>
  <c r="Q221" i="14"/>
  <c r="F222" i="17" s="1"/>
  <c r="A222" i="17"/>
  <c r="Z221" i="14"/>
  <c r="O222" i="17" s="1"/>
  <c r="J221" i="17"/>
  <c r="B225" i="17"/>
  <c r="G224" i="14"/>
  <c r="AA23" i="15" s="1"/>
  <c r="L222" i="14"/>
  <c r="AC222" i="14"/>
  <c r="R223" i="17" s="1"/>
  <c r="AB222" i="14"/>
  <c r="Q223" i="17" s="1"/>
  <c r="E223" i="14"/>
  <c r="J223" i="14"/>
  <c r="K223" i="14" s="1"/>
  <c r="AD223" i="14" s="1"/>
  <c r="S224" i="17" s="1"/>
  <c r="C224" i="14"/>
  <c r="I224" i="14"/>
  <c r="B224" i="14"/>
  <c r="A224" i="14"/>
  <c r="D224" i="14"/>
  <c r="X20" i="15"/>
  <c r="Z22" i="15"/>
  <c r="Y22" i="15"/>
  <c r="P224" i="14"/>
  <c r="E225" i="17" s="1"/>
  <c r="M225" i="14"/>
  <c r="N224" i="14"/>
  <c r="C225" i="17" s="1"/>
  <c r="V23" i="15"/>
  <c r="O224" i="14"/>
  <c r="D225" i="17" s="1"/>
  <c r="W22" i="15"/>
  <c r="Q222" i="14" l="1"/>
  <c r="F223" i="17" s="1"/>
  <c r="L223" i="17"/>
  <c r="H223" i="17"/>
  <c r="J222" i="17"/>
  <c r="AA222" i="14"/>
  <c r="P223" i="17" s="1"/>
  <c r="Y222" i="14"/>
  <c r="N223" i="17" s="1"/>
  <c r="F223" i="14"/>
  <c r="H223" i="14"/>
  <c r="A223" i="17"/>
  <c r="Z222" i="14"/>
  <c r="O223" i="17" s="1"/>
  <c r="B226" i="17"/>
  <c r="G225" i="14"/>
  <c r="AA24" i="15" s="1"/>
  <c r="AC223" i="14"/>
  <c r="R224" i="17" s="1"/>
  <c r="AB223" i="14"/>
  <c r="Q224" i="17" s="1"/>
  <c r="L223" i="14"/>
  <c r="J224" i="14"/>
  <c r="K224" i="14" s="1"/>
  <c r="AD224" i="14" s="1"/>
  <c r="S225" i="17" s="1"/>
  <c r="D225" i="14"/>
  <c r="C225" i="14"/>
  <c r="B225" i="14"/>
  <c r="I225" i="14"/>
  <c r="A225" i="14"/>
  <c r="E224" i="14"/>
  <c r="Y23" i="15"/>
  <c r="X21" i="15"/>
  <c r="Z23" i="15"/>
  <c r="W23" i="15"/>
  <c r="M226" i="14"/>
  <c r="P225" i="14"/>
  <c r="E226" i="17" s="1"/>
  <c r="V24" i="15"/>
  <c r="O225" i="14"/>
  <c r="D226" i="17" s="1"/>
  <c r="N225" i="14"/>
  <c r="C226" i="17" s="1"/>
  <c r="J223" i="17" l="1"/>
  <c r="Q223" i="14"/>
  <c r="L224" i="17"/>
  <c r="H224" i="17"/>
  <c r="AA223" i="14"/>
  <c r="P224" i="17" s="1"/>
  <c r="Y223" i="14"/>
  <c r="N224" i="17" s="1"/>
  <c r="F224" i="14"/>
  <c r="H224" i="14"/>
  <c r="A224" i="17"/>
  <c r="Z223" i="14"/>
  <c r="O224" i="17" s="1"/>
  <c r="B227" i="17"/>
  <c r="G226" i="14"/>
  <c r="AA25" i="15" s="1"/>
  <c r="AC224" i="14"/>
  <c r="R225" i="17" s="1"/>
  <c r="AB224" i="14"/>
  <c r="Q225" i="17" s="1"/>
  <c r="L224" i="14"/>
  <c r="E225" i="14"/>
  <c r="F224" i="17"/>
  <c r="J225" i="14"/>
  <c r="K225" i="14" s="1"/>
  <c r="AD225" i="14" s="1"/>
  <c r="S226" i="17" s="1"/>
  <c r="B226" i="14"/>
  <c r="I226" i="14"/>
  <c r="A226" i="14"/>
  <c r="D226" i="14"/>
  <c r="C226" i="14"/>
  <c r="X22" i="15"/>
  <c r="Z24" i="15"/>
  <c r="Y24" i="15"/>
  <c r="W24" i="15"/>
  <c r="O226" i="14"/>
  <c r="D227" i="17" s="1"/>
  <c r="P226" i="14"/>
  <c r="E227" i="17" s="1"/>
  <c r="N226" i="14"/>
  <c r="C227" i="17" s="1"/>
  <c r="M227" i="14"/>
  <c r="V25" i="15"/>
  <c r="Q224" i="14" l="1"/>
  <c r="F225" i="17" s="1"/>
  <c r="W224" i="14"/>
  <c r="L225" i="17" s="1"/>
  <c r="S224" i="14"/>
  <c r="H225" i="17" s="1"/>
  <c r="J224" i="17"/>
  <c r="F225" i="14"/>
  <c r="H225" i="14"/>
  <c r="AA224" i="14"/>
  <c r="P225" i="17" s="1"/>
  <c r="Y224" i="14"/>
  <c r="N225" i="17" s="1"/>
  <c r="A225" i="17"/>
  <c r="Z224" i="14"/>
  <c r="O225" i="17" s="1"/>
  <c r="B228" i="17"/>
  <c r="G227" i="14"/>
  <c r="AA26" i="15" s="1"/>
  <c r="L225" i="14"/>
  <c r="AC225" i="14"/>
  <c r="R226" i="17" s="1"/>
  <c r="AB225" i="14"/>
  <c r="Q226" i="17" s="1"/>
  <c r="E226" i="14"/>
  <c r="J226" i="14"/>
  <c r="K226" i="14" s="1"/>
  <c r="AD226" i="14" s="1"/>
  <c r="S227" i="17" s="1"/>
  <c r="D227" i="14"/>
  <c r="C227" i="14"/>
  <c r="B227" i="14"/>
  <c r="I227" i="14"/>
  <c r="A227" i="14"/>
  <c r="X23" i="15"/>
  <c r="Z25" i="15"/>
  <c r="Y25" i="15"/>
  <c r="W25" i="15"/>
  <c r="N227" i="14"/>
  <c r="C228" i="17" s="1"/>
  <c r="O227" i="14"/>
  <c r="D228" i="17" s="1"/>
  <c r="V26" i="15"/>
  <c r="M228" i="14"/>
  <c r="P227" i="14"/>
  <c r="E228" i="17" s="1"/>
  <c r="Q225" i="14" l="1"/>
  <c r="F226" i="17" s="1"/>
  <c r="L226" i="17"/>
  <c r="J226" i="17"/>
  <c r="AA225" i="14"/>
  <c r="P226" i="17" s="1"/>
  <c r="Y225" i="14"/>
  <c r="N226" i="17" s="1"/>
  <c r="U224" i="14"/>
  <c r="J225" i="17" s="1"/>
  <c r="F226" i="14"/>
  <c r="H226" i="14"/>
  <c r="A226" i="17"/>
  <c r="Z225" i="14"/>
  <c r="O226" i="17" s="1"/>
  <c r="H226" i="17"/>
  <c r="L226" i="14"/>
  <c r="AB226" i="14"/>
  <c r="Q227" i="17" s="1"/>
  <c r="AC226" i="14"/>
  <c r="R227" i="17" s="1"/>
  <c r="B229" i="17"/>
  <c r="G228" i="14"/>
  <c r="AA27" i="15" s="1"/>
  <c r="E227" i="14"/>
  <c r="J227" i="14"/>
  <c r="K227" i="14" s="1"/>
  <c r="AD227" i="14" s="1"/>
  <c r="S228" i="17" s="1"/>
  <c r="I228" i="14"/>
  <c r="B228" i="14"/>
  <c r="A228" i="14"/>
  <c r="D228" i="14"/>
  <c r="C228" i="14"/>
  <c r="Y26" i="15"/>
  <c r="Z26" i="15"/>
  <c r="X24" i="15"/>
  <c r="P228" i="14"/>
  <c r="E229" i="17" s="1"/>
  <c r="N228" i="14"/>
  <c r="C229" i="17" s="1"/>
  <c r="M229" i="14"/>
  <c r="V27" i="15"/>
  <c r="O228" i="14"/>
  <c r="D229" i="17" s="1"/>
  <c r="W26" i="15"/>
  <c r="L227" i="17" l="1"/>
  <c r="H227" i="17"/>
  <c r="F227" i="14"/>
  <c r="H227" i="14"/>
  <c r="AA226" i="14"/>
  <c r="P227" i="17" s="1"/>
  <c r="Y226" i="14"/>
  <c r="N227" i="17" s="1"/>
  <c r="Q226" i="14"/>
  <c r="F227" i="17" s="1"/>
  <c r="A227" i="17"/>
  <c r="Z226" i="14"/>
  <c r="O227" i="17" s="1"/>
  <c r="L227" i="14"/>
  <c r="AB227" i="14"/>
  <c r="Q228" i="17" s="1"/>
  <c r="AC227" i="14"/>
  <c r="R228" i="17" s="1"/>
  <c r="B230" i="17"/>
  <c r="G229" i="14"/>
  <c r="AA28" i="15" s="1"/>
  <c r="E228" i="14"/>
  <c r="J228" i="14"/>
  <c r="K228" i="14" s="1"/>
  <c r="AD228" i="14" s="1"/>
  <c r="S229" i="17" s="1"/>
  <c r="C229" i="14"/>
  <c r="B229" i="14"/>
  <c r="I229" i="14"/>
  <c r="A229" i="14"/>
  <c r="D229" i="14"/>
  <c r="X25" i="15"/>
  <c r="Z27" i="15"/>
  <c r="Y27" i="15"/>
  <c r="W27" i="15"/>
  <c r="P229" i="14"/>
  <c r="E230" i="17" s="1"/>
  <c r="M230" i="14"/>
  <c r="V28" i="15"/>
  <c r="N229" i="14"/>
  <c r="C230" i="17" s="1"/>
  <c r="O229" i="14"/>
  <c r="D230" i="17" s="1"/>
  <c r="J227" i="17" l="1"/>
  <c r="L228" i="17"/>
  <c r="F228" i="14"/>
  <c r="H228" i="14"/>
  <c r="AA227" i="14"/>
  <c r="P228" i="17" s="1"/>
  <c r="Y227" i="14"/>
  <c r="N228" i="17" s="1"/>
  <c r="Q227" i="14"/>
  <c r="F228" i="17" s="1"/>
  <c r="A228" i="17"/>
  <c r="Z227" i="14"/>
  <c r="O228" i="17" s="1"/>
  <c r="B231" i="17"/>
  <c r="G230" i="14"/>
  <c r="AA29" i="15" s="1"/>
  <c r="AC228" i="14"/>
  <c r="R229" i="17" s="1"/>
  <c r="AB228" i="14"/>
  <c r="Q229" i="17" s="1"/>
  <c r="E229" i="14"/>
  <c r="L228" i="14"/>
  <c r="J229" i="14"/>
  <c r="K229" i="14" s="1"/>
  <c r="AD229" i="14" s="1"/>
  <c r="S230" i="17" s="1"/>
  <c r="I230" i="14"/>
  <c r="A230" i="14"/>
  <c r="D230" i="14"/>
  <c r="C230" i="14"/>
  <c r="B230" i="14"/>
  <c r="Y28" i="15"/>
  <c r="X26" i="15"/>
  <c r="Z28" i="15"/>
  <c r="W28" i="15"/>
  <c r="N230" i="14"/>
  <c r="C231" i="17" s="1"/>
  <c r="P230" i="14"/>
  <c r="E231" i="17" s="1"/>
  <c r="O230" i="14"/>
  <c r="D231" i="17" s="1"/>
  <c r="M231" i="14"/>
  <c r="V29" i="15"/>
  <c r="H228" i="17" l="1"/>
  <c r="Q228" i="14"/>
  <c r="F229" i="17" s="1"/>
  <c r="L229" i="17"/>
  <c r="H229" i="17"/>
  <c r="F229" i="14"/>
  <c r="H229" i="14"/>
  <c r="AA228" i="14"/>
  <c r="P229" i="17" s="1"/>
  <c r="Y228" i="14"/>
  <c r="N229" i="17" s="1"/>
  <c r="J228" i="17"/>
  <c r="A229" i="17"/>
  <c r="Z228" i="14"/>
  <c r="O229" i="17" s="1"/>
  <c r="B232" i="17"/>
  <c r="G231" i="14"/>
  <c r="AA30" i="15" s="1"/>
  <c r="AC229" i="14"/>
  <c r="R230" i="17" s="1"/>
  <c r="AB229" i="14"/>
  <c r="Q230" i="17" s="1"/>
  <c r="E230" i="14"/>
  <c r="L229" i="14"/>
  <c r="J230" i="14"/>
  <c r="K230" i="14" s="1"/>
  <c r="AD230" i="14" s="1"/>
  <c r="S231" i="17" s="1"/>
  <c r="C231" i="14"/>
  <c r="B231" i="14"/>
  <c r="I231" i="14"/>
  <c r="A231" i="14"/>
  <c r="D231" i="14"/>
  <c r="Y29" i="15"/>
  <c r="Z29" i="15"/>
  <c r="X27" i="15"/>
  <c r="V30" i="15"/>
  <c r="N231" i="14"/>
  <c r="C232" i="17" s="1"/>
  <c r="M232" i="14"/>
  <c r="P231" i="14"/>
  <c r="E232" i="17" s="1"/>
  <c r="O231" i="14"/>
  <c r="D232" i="17" s="1"/>
  <c r="W29" i="15"/>
  <c r="J229" i="17" l="1"/>
  <c r="Q229" i="14"/>
  <c r="F230" i="17" s="1"/>
  <c r="L230" i="17"/>
  <c r="H230" i="17"/>
  <c r="F230" i="14"/>
  <c r="H230" i="14"/>
  <c r="AA229" i="14"/>
  <c r="P230" i="17" s="1"/>
  <c r="Y229" i="14"/>
  <c r="N230" i="17" s="1"/>
  <c r="A230" i="17"/>
  <c r="Z229" i="14"/>
  <c r="O230" i="17" s="1"/>
  <c r="L230" i="14"/>
  <c r="AC230" i="14"/>
  <c r="R231" i="17" s="1"/>
  <c r="AB230" i="14"/>
  <c r="Q231" i="17" s="1"/>
  <c r="B233" i="17"/>
  <c r="G232" i="14"/>
  <c r="AA31" i="15" s="1"/>
  <c r="E231" i="14"/>
  <c r="J231" i="14"/>
  <c r="K231" i="14" s="1"/>
  <c r="AD231" i="14" s="1"/>
  <c r="S232" i="17" s="1"/>
  <c r="A232" i="14"/>
  <c r="D232" i="14"/>
  <c r="C232" i="14"/>
  <c r="I232" i="14"/>
  <c r="B232" i="14"/>
  <c r="Z30" i="15"/>
  <c r="X28" i="15"/>
  <c r="Y30" i="15"/>
  <c r="W30" i="15"/>
  <c r="V31" i="15"/>
  <c r="O232" i="14"/>
  <c r="D233" i="17" s="1"/>
  <c r="P232" i="14"/>
  <c r="E233" i="17" s="1"/>
  <c r="N232" i="14"/>
  <c r="C233" i="17" s="1"/>
  <c r="M233" i="14"/>
  <c r="Q230" i="14" l="1"/>
  <c r="F231" i="17" s="1"/>
  <c r="L231" i="17"/>
  <c r="H231" i="17"/>
  <c r="J230" i="17"/>
  <c r="F231" i="14"/>
  <c r="H231" i="14"/>
  <c r="AA230" i="14"/>
  <c r="P231" i="17" s="1"/>
  <c r="Y230" i="14"/>
  <c r="N231" i="17" s="1"/>
  <c r="A231" i="17"/>
  <c r="Z230" i="14"/>
  <c r="O231" i="17" s="1"/>
  <c r="B234" i="17"/>
  <c r="G233" i="14"/>
  <c r="AA32" i="15" s="1"/>
  <c r="L231" i="14"/>
  <c r="AC231" i="14"/>
  <c r="R232" i="17" s="1"/>
  <c r="AB231" i="14"/>
  <c r="Q232" i="17" s="1"/>
  <c r="E232" i="14"/>
  <c r="B233" i="14"/>
  <c r="I233" i="14"/>
  <c r="A233" i="14"/>
  <c r="D233" i="14"/>
  <c r="C233" i="14"/>
  <c r="J232" i="14"/>
  <c r="K232" i="14" s="1"/>
  <c r="AD232" i="14" s="1"/>
  <c r="S233" i="17" s="1"/>
  <c r="Y31" i="15"/>
  <c r="X29" i="15"/>
  <c r="Z31" i="15"/>
  <c r="N233" i="14"/>
  <c r="C234" i="17" s="1"/>
  <c r="O233" i="14"/>
  <c r="D234" i="17" s="1"/>
  <c r="P233" i="14"/>
  <c r="E234" i="17" s="1"/>
  <c r="M234" i="14"/>
  <c r="V32" i="15"/>
  <c r="W31" i="15"/>
  <c r="W231" i="14" l="1"/>
  <c r="L232" i="17" s="1"/>
  <c r="S231" i="14"/>
  <c r="H232" i="17" s="1"/>
  <c r="J231" i="17"/>
  <c r="F232" i="14"/>
  <c r="H232" i="14"/>
  <c r="AA231" i="14"/>
  <c r="P232" i="17" s="1"/>
  <c r="Y231" i="14"/>
  <c r="N232" i="17" s="1"/>
  <c r="Q231" i="14"/>
  <c r="F232" i="17" s="1"/>
  <c r="A232" i="17"/>
  <c r="Z231" i="14"/>
  <c r="O232" i="17" s="1"/>
  <c r="B235" i="17"/>
  <c r="G234" i="14"/>
  <c r="AA33" i="15" s="1"/>
  <c r="AC232" i="14"/>
  <c r="R233" i="17" s="1"/>
  <c r="AB232" i="14"/>
  <c r="Q233" i="17" s="1"/>
  <c r="E233" i="14"/>
  <c r="L232" i="14"/>
  <c r="D234" i="14"/>
  <c r="C234" i="14"/>
  <c r="B234" i="14"/>
  <c r="I234" i="14"/>
  <c r="A234" i="14"/>
  <c r="J233" i="14"/>
  <c r="K233" i="14" s="1"/>
  <c r="AD233" i="14" s="1"/>
  <c r="S234" i="17" s="1"/>
  <c r="Y32" i="15"/>
  <c r="Z32" i="15"/>
  <c r="X30" i="15"/>
  <c r="W32" i="15"/>
  <c r="N234" i="14"/>
  <c r="C235" i="17" s="1"/>
  <c r="V33" i="15"/>
  <c r="P234" i="14"/>
  <c r="E235" i="17" s="1"/>
  <c r="M235" i="14"/>
  <c r="O234" i="14"/>
  <c r="D235" i="17" s="1"/>
  <c r="Q232" i="14" l="1"/>
  <c r="F233" i="17" s="1"/>
  <c r="L233" i="17"/>
  <c r="AA232" i="14"/>
  <c r="P233" i="17" s="1"/>
  <c r="Y232" i="14"/>
  <c r="N233" i="17" s="1"/>
  <c r="U231" i="14"/>
  <c r="J232" i="17" s="1"/>
  <c r="F233" i="14"/>
  <c r="H233" i="14"/>
  <c r="A233" i="17"/>
  <c r="Z232" i="14"/>
  <c r="O233" i="17" s="1"/>
  <c r="B236" i="17"/>
  <c r="G235" i="14"/>
  <c r="AA34" i="15" s="1"/>
  <c r="L233" i="14"/>
  <c r="AC233" i="14"/>
  <c r="R234" i="17" s="1"/>
  <c r="AB233" i="14"/>
  <c r="Q234" i="17" s="1"/>
  <c r="E234" i="14"/>
  <c r="J234" i="14"/>
  <c r="K234" i="14" s="1"/>
  <c r="AD234" i="14" s="1"/>
  <c r="S235" i="17" s="1"/>
  <c r="B235" i="14"/>
  <c r="I235" i="14"/>
  <c r="A235" i="14"/>
  <c r="D235" i="14"/>
  <c r="C235" i="14"/>
  <c r="Y33" i="15"/>
  <c r="X31" i="15"/>
  <c r="Z33" i="15"/>
  <c r="W33" i="15"/>
  <c r="O235" i="14"/>
  <c r="D236" i="17" s="1"/>
  <c r="P235" i="14"/>
  <c r="E236" i="17" s="1"/>
  <c r="V34" i="15"/>
  <c r="N235" i="14"/>
  <c r="C236" i="17" s="1"/>
  <c r="M238" i="14"/>
  <c r="Q233" i="14" l="1"/>
  <c r="F234" i="17" s="1"/>
  <c r="L234" i="17"/>
  <c r="F234" i="14"/>
  <c r="H234" i="14"/>
  <c r="AA233" i="14"/>
  <c r="P234" i="17" s="1"/>
  <c r="Y233" i="14"/>
  <c r="N234" i="17" s="1"/>
  <c r="A234" i="17"/>
  <c r="Z233" i="14"/>
  <c r="O234" i="17" s="1"/>
  <c r="B239" i="17"/>
  <c r="G238" i="14"/>
  <c r="AA36" i="15" s="1"/>
  <c r="L234" i="14"/>
  <c r="AB234" i="14"/>
  <c r="Q235" i="17" s="1"/>
  <c r="AC234" i="14"/>
  <c r="R235" i="17" s="1"/>
  <c r="E235" i="14"/>
  <c r="J233" i="17"/>
  <c r="H233" i="17"/>
  <c r="J235" i="14"/>
  <c r="K235" i="14" s="1"/>
  <c r="AD235" i="14" s="1"/>
  <c r="S236" i="17" s="1"/>
  <c r="D238" i="14"/>
  <c r="C238" i="14"/>
  <c r="B238" i="14"/>
  <c r="I238" i="14"/>
  <c r="A238" i="14"/>
  <c r="X32" i="15"/>
  <c r="Z34" i="15"/>
  <c r="Y34" i="15"/>
  <c r="M239" i="14"/>
  <c r="O238" i="14"/>
  <c r="D239" i="17" s="1"/>
  <c r="P238" i="14"/>
  <c r="E239" i="17" s="1"/>
  <c r="N238" i="14"/>
  <c r="C239" i="17" s="1"/>
  <c r="V36" i="15"/>
  <c r="W34" i="15"/>
  <c r="H234" i="17" l="1"/>
  <c r="L235" i="17"/>
  <c r="F235" i="14"/>
  <c r="H235" i="14"/>
  <c r="AA234" i="14"/>
  <c r="P235" i="17" s="1"/>
  <c r="Y234" i="14"/>
  <c r="N235" i="17" s="1"/>
  <c r="J234" i="17"/>
  <c r="Q234" i="14"/>
  <c r="F235" i="17" s="1"/>
  <c r="A235" i="17"/>
  <c r="Z234" i="14"/>
  <c r="O235" i="17" s="1"/>
  <c r="L235" i="14"/>
  <c r="AB235" i="14"/>
  <c r="Q236" i="17" s="1"/>
  <c r="AC235" i="14"/>
  <c r="R236" i="17" s="1"/>
  <c r="B240" i="17"/>
  <c r="G239" i="14"/>
  <c r="AA37" i="15" s="1"/>
  <c r="E238" i="14"/>
  <c r="B239" i="14"/>
  <c r="I239" i="14"/>
  <c r="A239" i="14"/>
  <c r="D239" i="14"/>
  <c r="C239" i="14"/>
  <c r="J238" i="14"/>
  <c r="K238" i="14" s="1"/>
  <c r="AD238" i="14" s="1"/>
  <c r="S239" i="17" s="1"/>
  <c r="Z36" i="15"/>
  <c r="Y36" i="15"/>
  <c r="X33" i="15"/>
  <c r="P239" i="14"/>
  <c r="E240" i="17" s="1"/>
  <c r="M240" i="14"/>
  <c r="N239" i="14"/>
  <c r="C240" i="17" s="1"/>
  <c r="O239" i="14"/>
  <c r="D240" i="17" s="1"/>
  <c r="V37" i="15"/>
  <c r="W36" i="15"/>
  <c r="H235" i="17" l="1"/>
  <c r="Q235" i="14"/>
  <c r="F236" i="17" s="1"/>
  <c r="F237" i="17" s="1"/>
  <c r="AA411" i="17" s="1"/>
  <c r="L236" i="17"/>
  <c r="H236" i="17"/>
  <c r="E239" i="14"/>
  <c r="F238" i="14"/>
  <c r="H238" i="14"/>
  <c r="AA235" i="14"/>
  <c r="P236" i="17" s="1"/>
  <c r="Y235" i="14"/>
  <c r="N236" i="17" s="1"/>
  <c r="J235" i="17"/>
  <c r="A236" i="17"/>
  <c r="Z235" i="14"/>
  <c r="O236" i="17" s="1"/>
  <c r="AC238" i="14"/>
  <c r="R239" i="17" s="1"/>
  <c r="AB238" i="14"/>
  <c r="Q239" i="17" s="1"/>
  <c r="B241" i="17"/>
  <c r="G240" i="14"/>
  <c r="AA38" i="15" s="1"/>
  <c r="L238" i="14"/>
  <c r="J239" i="14"/>
  <c r="K239" i="14" s="1"/>
  <c r="AD239" i="14" s="1"/>
  <c r="S240" i="17" s="1"/>
  <c r="D240" i="14"/>
  <c r="C240" i="14"/>
  <c r="I240" i="14"/>
  <c r="B240" i="14"/>
  <c r="A240" i="14"/>
  <c r="Z37" i="15"/>
  <c r="X34" i="15"/>
  <c r="Y37" i="15"/>
  <c r="W37" i="15"/>
  <c r="O240" i="14"/>
  <c r="D241" i="17" s="1"/>
  <c r="M241" i="14"/>
  <c r="P240" i="14"/>
  <c r="E241" i="17" s="1"/>
  <c r="N240" i="14"/>
  <c r="C241" i="17" s="1"/>
  <c r="V38" i="15"/>
  <c r="J236" i="17" l="1"/>
  <c r="Q238" i="14"/>
  <c r="F239" i="17" s="1"/>
  <c r="L239" i="17"/>
  <c r="H239" i="17"/>
  <c r="AA238" i="14"/>
  <c r="P239" i="17" s="1"/>
  <c r="Y238" i="14"/>
  <c r="N239" i="17" s="1"/>
  <c r="F239" i="14"/>
  <c r="H239" i="14"/>
  <c r="A239" i="17"/>
  <c r="Z238" i="14"/>
  <c r="O239" i="17" s="1"/>
  <c r="B242" i="17"/>
  <c r="G241" i="14"/>
  <c r="AA39" i="15" s="1"/>
  <c r="L239" i="14"/>
  <c r="AC239" i="14"/>
  <c r="R240" i="17" s="1"/>
  <c r="AB239" i="14"/>
  <c r="Q240" i="17" s="1"/>
  <c r="J240" i="14"/>
  <c r="E240" i="14"/>
  <c r="A241" i="14"/>
  <c r="D241" i="14"/>
  <c r="C241" i="14"/>
  <c r="I241" i="14"/>
  <c r="B241" i="14"/>
  <c r="K240" i="14"/>
  <c r="AD240" i="14" s="1"/>
  <c r="S241" i="17" s="1"/>
  <c r="Y38" i="15"/>
  <c r="X36" i="15"/>
  <c r="Z38" i="15"/>
  <c r="M242" i="14"/>
  <c r="V39" i="15"/>
  <c r="O241" i="14"/>
  <c r="D242" i="17" s="1"/>
  <c r="P241" i="14"/>
  <c r="E242" i="17" s="1"/>
  <c r="N241" i="14"/>
  <c r="C242" i="17" s="1"/>
  <c r="W38" i="15"/>
  <c r="Z223" i="17" l="1"/>
  <c r="Q239" i="14"/>
  <c r="F240" i="17" s="1"/>
  <c r="L240" i="17"/>
  <c r="H240" i="17"/>
  <c r="J239" i="17"/>
  <c r="AA239" i="14"/>
  <c r="P240" i="17" s="1"/>
  <c r="Y239" i="14"/>
  <c r="N240" i="17" s="1"/>
  <c r="F240" i="14"/>
  <c r="H240" i="14"/>
  <c r="A240" i="17"/>
  <c r="Z239" i="14"/>
  <c r="O240" i="17" s="1"/>
  <c r="AC240" i="14"/>
  <c r="R241" i="17" s="1"/>
  <c r="AB240" i="14"/>
  <c r="Q241" i="17" s="1"/>
  <c r="B243" i="17"/>
  <c r="G242" i="14"/>
  <c r="AA40" i="15" s="1"/>
  <c r="J241" i="14"/>
  <c r="K241" i="14" s="1"/>
  <c r="AD241" i="14" s="1"/>
  <c r="S242" i="17" s="1"/>
  <c r="B242" i="14"/>
  <c r="I242" i="14"/>
  <c r="A242" i="14"/>
  <c r="D242" i="14"/>
  <c r="C242" i="14"/>
  <c r="E241" i="14"/>
  <c r="L240" i="14"/>
  <c r="Y39" i="15"/>
  <c r="Z39" i="15"/>
  <c r="X37" i="15"/>
  <c r="W39" i="15"/>
  <c r="V40" i="15"/>
  <c r="O242" i="14"/>
  <c r="D243" i="17" s="1"/>
  <c r="N242" i="14"/>
  <c r="C243" i="17" s="1"/>
  <c r="P242" i="14"/>
  <c r="E243" i="17" s="1"/>
  <c r="M243" i="14"/>
  <c r="AC223" i="17" l="1"/>
  <c r="AC224" i="17" s="1"/>
  <c r="AC411" i="17" s="1"/>
  <c r="AA223" i="17"/>
  <c r="AB411" i="17" s="1"/>
  <c r="Q240" i="14"/>
  <c r="F241" i="17" s="1"/>
  <c r="L241" i="17"/>
  <c r="J240" i="17"/>
  <c r="F241" i="14"/>
  <c r="H241" i="14"/>
  <c r="AA240" i="14"/>
  <c r="P241" i="17" s="1"/>
  <c r="Y240" i="14"/>
  <c r="N241" i="17" s="1"/>
  <c r="A241" i="17"/>
  <c r="Z240" i="14"/>
  <c r="O241" i="17" s="1"/>
  <c r="E242" i="14"/>
  <c r="AC241" i="14"/>
  <c r="R242" i="17" s="1"/>
  <c r="AB241" i="14"/>
  <c r="Q242" i="17" s="1"/>
  <c r="B244" i="17"/>
  <c r="G243" i="14"/>
  <c r="AA41" i="15" s="1"/>
  <c r="J242" i="14"/>
  <c r="K242" i="14" s="1"/>
  <c r="AD242" i="14" s="1"/>
  <c r="S243" i="17" s="1"/>
  <c r="D243" i="14"/>
  <c r="C243" i="14"/>
  <c r="B243" i="14"/>
  <c r="I243" i="14"/>
  <c r="A243" i="14"/>
  <c r="L241" i="14"/>
  <c r="Y40" i="15"/>
  <c r="X38" i="15"/>
  <c r="Z40" i="15"/>
  <c r="V41" i="15"/>
  <c r="P243" i="14"/>
  <c r="E244" i="17" s="1"/>
  <c r="N243" i="14"/>
  <c r="C244" i="17" s="1"/>
  <c r="O243" i="14"/>
  <c r="D244" i="17" s="1"/>
  <c r="M244" i="14"/>
  <c r="W40" i="15"/>
  <c r="Q241" i="14" l="1"/>
  <c r="F242" i="17" s="1"/>
  <c r="W241" i="14"/>
  <c r="L242" i="17" s="1"/>
  <c r="S241" i="14"/>
  <c r="U241" i="14" s="1"/>
  <c r="F242" i="14"/>
  <c r="H242" i="14"/>
  <c r="AA241" i="14"/>
  <c r="P242" i="17" s="1"/>
  <c r="Y241" i="14"/>
  <c r="N242" i="17" s="1"/>
  <c r="A242" i="17"/>
  <c r="Z241" i="14"/>
  <c r="O242" i="17" s="1"/>
  <c r="B245" i="17"/>
  <c r="G244" i="14"/>
  <c r="AA42" i="15" s="1"/>
  <c r="AC242" i="14"/>
  <c r="R243" i="17" s="1"/>
  <c r="AB242" i="14"/>
  <c r="Q243" i="17" s="1"/>
  <c r="J241" i="17"/>
  <c r="H241" i="17"/>
  <c r="E243" i="14"/>
  <c r="L242" i="14"/>
  <c r="J243" i="14"/>
  <c r="K243" i="14" s="1"/>
  <c r="AD243" i="14" s="1"/>
  <c r="S244" i="17" s="1"/>
  <c r="I244" i="14"/>
  <c r="B244" i="14"/>
  <c r="A244" i="14"/>
  <c r="D244" i="14"/>
  <c r="C244" i="14"/>
  <c r="Y41" i="15"/>
  <c r="X39" i="15"/>
  <c r="Z41" i="15"/>
  <c r="W41" i="15"/>
  <c r="M245" i="14"/>
  <c r="P244" i="14"/>
  <c r="E245" i="17" s="1"/>
  <c r="N244" i="14"/>
  <c r="C245" i="17" s="1"/>
  <c r="O244" i="14"/>
  <c r="D245" i="17" s="1"/>
  <c r="V42" i="15"/>
  <c r="Q242" i="14" l="1"/>
  <c r="L243" i="17"/>
  <c r="Y242" i="14"/>
  <c r="AA242" i="14"/>
  <c r="P243" i="17" s="1"/>
  <c r="F243" i="14"/>
  <c r="H243" i="14"/>
  <c r="A243" i="17"/>
  <c r="Z242" i="14"/>
  <c r="O243" i="17" s="1"/>
  <c r="B246" i="17"/>
  <c r="G245" i="14"/>
  <c r="AA43" i="15" s="1"/>
  <c r="AC243" i="14"/>
  <c r="R244" i="17" s="1"/>
  <c r="AB243" i="14"/>
  <c r="Q244" i="17" s="1"/>
  <c r="J242" i="17"/>
  <c r="H242" i="17"/>
  <c r="E244" i="14"/>
  <c r="L243" i="14"/>
  <c r="J244" i="14"/>
  <c r="K244" i="14" s="1"/>
  <c r="AD244" i="14" s="1"/>
  <c r="S245" i="17" s="1"/>
  <c r="C245" i="14"/>
  <c r="I245" i="14"/>
  <c r="B245" i="14"/>
  <c r="A245" i="14"/>
  <c r="D245" i="14"/>
  <c r="N243" i="17"/>
  <c r="F243" i="17"/>
  <c r="Z42" i="15"/>
  <c r="X40" i="15"/>
  <c r="Y42" i="15"/>
  <c r="W42" i="15"/>
  <c r="V43" i="15"/>
  <c r="P245" i="14"/>
  <c r="E246" i="17" s="1"/>
  <c r="N245" i="14"/>
  <c r="C246" i="17" s="1"/>
  <c r="O245" i="14"/>
  <c r="D246" i="17" s="1"/>
  <c r="M246" i="14"/>
  <c r="Q243" i="14" l="1"/>
  <c r="F244" i="17" s="1"/>
  <c r="L244" i="17"/>
  <c r="F244" i="14"/>
  <c r="H244" i="14"/>
  <c r="AA243" i="14"/>
  <c r="P244" i="17" s="1"/>
  <c r="Y243" i="14"/>
  <c r="N244" i="17" s="1"/>
  <c r="A244" i="17"/>
  <c r="Z243" i="14"/>
  <c r="O244" i="17" s="1"/>
  <c r="B247" i="17"/>
  <c r="G246" i="14"/>
  <c r="AA44" i="15" s="1"/>
  <c r="L244" i="14"/>
  <c r="AB244" i="14"/>
  <c r="Q245" i="17" s="1"/>
  <c r="AC244" i="14"/>
  <c r="R245" i="17" s="1"/>
  <c r="J243" i="17"/>
  <c r="H243" i="17"/>
  <c r="E245" i="14"/>
  <c r="D246" i="14"/>
  <c r="C246" i="14"/>
  <c r="B246" i="14"/>
  <c r="I246" i="14"/>
  <c r="A246" i="14"/>
  <c r="J245" i="14"/>
  <c r="K245" i="14" s="1"/>
  <c r="AD245" i="14" s="1"/>
  <c r="S246" i="17" s="1"/>
  <c r="Y43" i="15"/>
  <c r="X41" i="15"/>
  <c r="Z43" i="15"/>
  <c r="N246" i="14"/>
  <c r="C247" i="17" s="1"/>
  <c r="O246" i="14"/>
  <c r="D247" i="17" s="1"/>
  <c r="M247" i="14"/>
  <c r="V44" i="15"/>
  <c r="P246" i="14"/>
  <c r="E247" i="17" s="1"/>
  <c r="W43" i="15"/>
  <c r="H244" i="17" l="1"/>
  <c r="Q244" i="14"/>
  <c r="F245" i="17" s="1"/>
  <c r="L245" i="17"/>
  <c r="H245" i="17"/>
  <c r="F245" i="14"/>
  <c r="H245" i="14"/>
  <c r="AA244" i="14"/>
  <c r="P245" i="17" s="1"/>
  <c r="Y244" i="14"/>
  <c r="N245" i="17" s="1"/>
  <c r="A245" i="17"/>
  <c r="Z244" i="14"/>
  <c r="O245" i="17" s="1"/>
  <c r="B248" i="17"/>
  <c r="G247" i="14"/>
  <c r="AA45" i="15" s="1"/>
  <c r="L245" i="14"/>
  <c r="AB245" i="14"/>
  <c r="Q246" i="17" s="1"/>
  <c r="AC245" i="14"/>
  <c r="R246" i="17" s="1"/>
  <c r="J244" i="17"/>
  <c r="E246" i="14"/>
  <c r="B247" i="14"/>
  <c r="I247" i="14"/>
  <c r="A247" i="14"/>
  <c r="D247" i="14"/>
  <c r="C247" i="14"/>
  <c r="J246" i="14"/>
  <c r="K246" i="14" s="1"/>
  <c r="AD246" i="14" s="1"/>
  <c r="S247" i="17" s="1"/>
  <c r="Y44" i="15"/>
  <c r="Z44" i="15"/>
  <c r="X42" i="15"/>
  <c r="N247" i="14"/>
  <c r="C248" i="17" s="1"/>
  <c r="P247" i="14"/>
  <c r="E248" i="17" s="1"/>
  <c r="O247" i="14"/>
  <c r="D248" i="17" s="1"/>
  <c r="V45" i="15"/>
  <c r="M248" i="14"/>
  <c r="W44" i="15"/>
  <c r="J245" i="17" l="1"/>
  <c r="Q245" i="14"/>
  <c r="F246" i="17" s="1"/>
  <c r="L246" i="17"/>
  <c r="H246" i="17"/>
  <c r="F246" i="14"/>
  <c r="H246" i="14"/>
  <c r="AA245" i="14"/>
  <c r="P246" i="17" s="1"/>
  <c r="Y245" i="14"/>
  <c r="N246" i="17" s="1"/>
  <c r="A246" i="17"/>
  <c r="Z245" i="14"/>
  <c r="O246" i="17" s="1"/>
  <c r="AC246" i="14"/>
  <c r="R247" i="17" s="1"/>
  <c r="AB246" i="14"/>
  <c r="Q247" i="17" s="1"/>
  <c r="B249" i="17"/>
  <c r="G248" i="14"/>
  <c r="AA46" i="15" s="1"/>
  <c r="E247" i="14"/>
  <c r="L246" i="14"/>
  <c r="D248" i="14"/>
  <c r="C248" i="14"/>
  <c r="I248" i="14"/>
  <c r="B248" i="14"/>
  <c r="A248" i="14"/>
  <c r="J247" i="14"/>
  <c r="K247" i="14" s="1"/>
  <c r="AD247" i="14" s="1"/>
  <c r="S248" i="17" s="1"/>
  <c r="Z45" i="15"/>
  <c r="Y45" i="15"/>
  <c r="X43" i="15"/>
  <c r="W45" i="15"/>
  <c r="P248" i="14"/>
  <c r="E249" i="17" s="1"/>
  <c r="N248" i="14"/>
  <c r="C249" i="17" s="1"/>
  <c r="M249" i="14"/>
  <c r="V46" i="15"/>
  <c r="O248" i="14"/>
  <c r="D249" i="17" s="1"/>
  <c r="J246" i="17" l="1"/>
  <c r="Q246" i="14"/>
  <c r="F247" i="17" s="1"/>
  <c r="L247" i="17"/>
  <c r="H247" i="17"/>
  <c r="F247" i="14"/>
  <c r="H247" i="14"/>
  <c r="AA246" i="14"/>
  <c r="P247" i="17" s="1"/>
  <c r="Y246" i="14"/>
  <c r="N247" i="17" s="1"/>
  <c r="A247" i="17"/>
  <c r="Z246" i="14"/>
  <c r="O247" i="17" s="1"/>
  <c r="AC247" i="14"/>
  <c r="R248" i="17" s="1"/>
  <c r="AB247" i="14"/>
  <c r="Q248" i="17" s="1"/>
  <c r="B250" i="17"/>
  <c r="G249" i="14"/>
  <c r="AA47" i="15" s="1"/>
  <c r="L247" i="14"/>
  <c r="A249" i="14"/>
  <c r="D249" i="14"/>
  <c r="C249" i="14"/>
  <c r="I249" i="14"/>
  <c r="B249" i="14"/>
  <c r="J248" i="14"/>
  <c r="K248" i="14" s="1"/>
  <c r="AD248" i="14" s="1"/>
  <c r="S249" i="17" s="1"/>
  <c r="E248" i="14"/>
  <c r="Y46" i="15"/>
  <c r="X44" i="15"/>
  <c r="Z46" i="15"/>
  <c r="W46" i="15"/>
  <c r="O249" i="14"/>
  <c r="D250" i="17" s="1"/>
  <c r="V47" i="15"/>
  <c r="N249" i="14"/>
  <c r="C250" i="17" s="1"/>
  <c r="P249" i="14"/>
  <c r="E250" i="17" s="1"/>
  <c r="M250" i="14"/>
  <c r="Q247" i="14" l="1"/>
  <c r="W247" i="14"/>
  <c r="L248" i="17" s="1"/>
  <c r="S247" i="14"/>
  <c r="H248" i="17" s="1"/>
  <c r="J247" i="17"/>
  <c r="AA247" i="14"/>
  <c r="P248" i="17" s="1"/>
  <c r="Y247" i="14"/>
  <c r="N248" i="17" s="1"/>
  <c r="F248" i="14"/>
  <c r="H248" i="14"/>
  <c r="A248" i="17"/>
  <c r="Z247" i="14"/>
  <c r="O248" i="17" s="1"/>
  <c r="B251" i="17"/>
  <c r="G250" i="14"/>
  <c r="AA48" i="15" s="1"/>
  <c r="AC248" i="14"/>
  <c r="R249" i="17" s="1"/>
  <c r="AB248" i="14"/>
  <c r="Q249" i="17" s="1"/>
  <c r="L248" i="14"/>
  <c r="B250" i="14"/>
  <c r="I250" i="14"/>
  <c r="A250" i="14"/>
  <c r="D250" i="14"/>
  <c r="C250" i="14"/>
  <c r="J249" i="14"/>
  <c r="K249" i="14" s="1"/>
  <c r="AD249" i="14" s="1"/>
  <c r="S250" i="17" s="1"/>
  <c r="E249" i="14"/>
  <c r="F248" i="17"/>
  <c r="Y47" i="15"/>
  <c r="X45" i="15"/>
  <c r="Z47" i="15"/>
  <c r="N250" i="14"/>
  <c r="C251" i="17" s="1"/>
  <c r="V48" i="15"/>
  <c r="O250" i="14"/>
  <c r="D251" i="17" s="1"/>
  <c r="P250" i="14"/>
  <c r="E251" i="17" s="1"/>
  <c r="M251" i="14"/>
  <c r="W47" i="15"/>
  <c r="Q248" i="14" l="1"/>
  <c r="F249" i="17" s="1"/>
  <c r="L249" i="17"/>
  <c r="AA248" i="14"/>
  <c r="P249" i="17" s="1"/>
  <c r="Y248" i="14"/>
  <c r="N249" i="17" s="1"/>
  <c r="U247" i="14"/>
  <c r="J248" i="17" s="1"/>
  <c r="F249" i="14"/>
  <c r="H249" i="14"/>
  <c r="A249" i="17"/>
  <c r="Z248" i="14"/>
  <c r="O249" i="17" s="1"/>
  <c r="B252" i="17"/>
  <c r="G251" i="14"/>
  <c r="AA49" i="15" s="1"/>
  <c r="AC249" i="14"/>
  <c r="R250" i="17" s="1"/>
  <c r="AB249" i="14"/>
  <c r="Q250" i="17" s="1"/>
  <c r="E250" i="14"/>
  <c r="L249" i="14"/>
  <c r="D251" i="14"/>
  <c r="C251" i="14"/>
  <c r="B251" i="14"/>
  <c r="I251" i="14"/>
  <c r="A251" i="14"/>
  <c r="J250" i="14"/>
  <c r="K250" i="14" s="1"/>
  <c r="AD250" i="14" s="1"/>
  <c r="S251" i="17" s="1"/>
  <c r="Z48" i="15"/>
  <c r="X46" i="15"/>
  <c r="Y48" i="15"/>
  <c r="W48" i="15"/>
  <c r="V49" i="15"/>
  <c r="M252" i="14"/>
  <c r="O251" i="14"/>
  <c r="D252" i="17" s="1"/>
  <c r="P251" i="14"/>
  <c r="E252" i="17" s="1"/>
  <c r="N251" i="14"/>
  <c r="C252" i="17" s="1"/>
  <c r="Q249" i="14" l="1"/>
  <c r="F250" i="17" s="1"/>
  <c r="L250" i="17"/>
  <c r="AA249" i="14"/>
  <c r="P250" i="17" s="1"/>
  <c r="Y249" i="14"/>
  <c r="N250" i="17" s="1"/>
  <c r="F250" i="14"/>
  <c r="H250" i="14"/>
  <c r="A250" i="17"/>
  <c r="Z249" i="14"/>
  <c r="O250" i="17" s="1"/>
  <c r="B253" i="17"/>
  <c r="G252" i="14"/>
  <c r="AA50" i="15" s="1"/>
  <c r="AC250" i="14"/>
  <c r="R251" i="17" s="1"/>
  <c r="AB250" i="14"/>
  <c r="Q251" i="17" s="1"/>
  <c r="J249" i="17"/>
  <c r="H249" i="17"/>
  <c r="E251" i="14"/>
  <c r="L250" i="14"/>
  <c r="I252" i="14"/>
  <c r="B252" i="14"/>
  <c r="A252" i="14"/>
  <c r="D252" i="14"/>
  <c r="C252" i="14"/>
  <c r="J251" i="14"/>
  <c r="K251" i="14" s="1"/>
  <c r="AD251" i="14" s="1"/>
  <c r="S252" i="17" s="1"/>
  <c r="Z49" i="15"/>
  <c r="X47" i="15"/>
  <c r="Y49" i="15"/>
  <c r="W49" i="15"/>
  <c r="O252" i="14"/>
  <c r="D253" i="17" s="1"/>
  <c r="V50" i="15"/>
  <c r="P252" i="14"/>
  <c r="E253" i="17" s="1"/>
  <c r="N252" i="14"/>
  <c r="C253" i="17" s="1"/>
  <c r="M253" i="14"/>
  <c r="Q250" i="14" l="1"/>
  <c r="F251" i="17" s="1"/>
  <c r="L251" i="17"/>
  <c r="AA250" i="14"/>
  <c r="P251" i="17" s="1"/>
  <c r="Y250" i="14"/>
  <c r="N251" i="17" s="1"/>
  <c r="F251" i="14"/>
  <c r="H251" i="14"/>
  <c r="A251" i="17"/>
  <c r="Z250" i="14"/>
  <c r="O251" i="17" s="1"/>
  <c r="AC251" i="14"/>
  <c r="R252" i="17" s="1"/>
  <c r="AB251" i="14"/>
  <c r="Q252" i="17" s="1"/>
  <c r="B254" i="17"/>
  <c r="G253" i="14"/>
  <c r="AA51" i="15" s="1"/>
  <c r="J250" i="17"/>
  <c r="H250" i="17"/>
  <c r="L251" i="14"/>
  <c r="J252" i="14"/>
  <c r="K252" i="14" s="1"/>
  <c r="AD252" i="14" s="1"/>
  <c r="S253" i="17" s="1"/>
  <c r="E252" i="14"/>
  <c r="C253" i="14"/>
  <c r="I253" i="14"/>
  <c r="B253" i="14"/>
  <c r="A253" i="14"/>
  <c r="D253" i="14"/>
  <c r="Y50" i="15"/>
  <c r="Z50" i="15"/>
  <c r="X48" i="15"/>
  <c r="W50" i="15"/>
  <c r="V51" i="15"/>
  <c r="M254" i="14"/>
  <c r="P253" i="14"/>
  <c r="E254" i="17" s="1"/>
  <c r="O253" i="14"/>
  <c r="D254" i="17" s="1"/>
  <c r="N253" i="14"/>
  <c r="C254" i="17" s="1"/>
  <c r="H251" i="17" l="1"/>
  <c r="Q251" i="14"/>
  <c r="F252" i="17" s="1"/>
  <c r="L252" i="17"/>
  <c r="H252" i="17"/>
  <c r="AA251" i="14"/>
  <c r="P252" i="17" s="1"/>
  <c r="Y251" i="14"/>
  <c r="N252" i="17" s="1"/>
  <c r="F252" i="14"/>
  <c r="H252" i="14"/>
  <c r="A252" i="17"/>
  <c r="Z251" i="14"/>
  <c r="O252" i="17" s="1"/>
  <c r="B255" i="17"/>
  <c r="G254" i="14"/>
  <c r="AA52" i="15" s="1"/>
  <c r="AB252" i="14"/>
  <c r="Q253" i="17" s="1"/>
  <c r="AC252" i="14"/>
  <c r="R253" i="17" s="1"/>
  <c r="J251" i="17"/>
  <c r="L252" i="14"/>
  <c r="D254" i="14"/>
  <c r="C254" i="14"/>
  <c r="B254" i="14"/>
  <c r="I254" i="14"/>
  <c r="A254" i="14"/>
  <c r="E253" i="14"/>
  <c r="J253" i="14"/>
  <c r="K253" i="14" s="1"/>
  <c r="AD253" i="14" s="1"/>
  <c r="S254" i="17" s="1"/>
  <c r="Z51" i="15"/>
  <c r="Y51" i="15"/>
  <c r="X49" i="15"/>
  <c r="W51" i="15"/>
  <c r="O254" i="14"/>
  <c r="D255" i="17" s="1"/>
  <c r="M255" i="14"/>
  <c r="P254" i="14"/>
  <c r="E255" i="17" s="1"/>
  <c r="N254" i="14"/>
  <c r="C255" i="17" s="1"/>
  <c r="V52" i="15"/>
  <c r="Q252" i="14" l="1"/>
  <c r="F253" i="17" s="1"/>
  <c r="L253" i="17"/>
  <c r="H253" i="17"/>
  <c r="J252" i="17"/>
  <c r="AA252" i="14"/>
  <c r="P253" i="17" s="1"/>
  <c r="Y252" i="14"/>
  <c r="N253" i="17" s="1"/>
  <c r="F253" i="14"/>
  <c r="H253" i="14"/>
  <c r="A253" i="17"/>
  <c r="Z252" i="14"/>
  <c r="O253" i="17" s="1"/>
  <c r="B256" i="17"/>
  <c r="G255" i="14"/>
  <c r="AA53" i="15" s="1"/>
  <c r="L253" i="14"/>
  <c r="AB253" i="14"/>
  <c r="Q254" i="17" s="1"/>
  <c r="AC253" i="14"/>
  <c r="R254" i="17" s="1"/>
  <c r="E254" i="14"/>
  <c r="B255" i="14"/>
  <c r="I255" i="14"/>
  <c r="A255" i="14"/>
  <c r="D255" i="14"/>
  <c r="C255" i="14"/>
  <c r="J254" i="14"/>
  <c r="K254" i="14" s="1"/>
  <c r="AD254" i="14" s="1"/>
  <c r="S255" i="17" s="1"/>
  <c r="Z52" i="15"/>
  <c r="Y52" i="15"/>
  <c r="X50" i="15"/>
  <c r="W52" i="15"/>
  <c r="N255" i="14"/>
  <c r="C256" i="17" s="1"/>
  <c r="P255" i="14"/>
  <c r="E256" i="17" s="1"/>
  <c r="M256" i="14"/>
  <c r="O255" i="14"/>
  <c r="D256" i="17" s="1"/>
  <c r="V53" i="15"/>
  <c r="Q253" i="14" l="1"/>
  <c r="F254" i="17" s="1"/>
  <c r="L254" i="17"/>
  <c r="H254" i="17"/>
  <c r="J253" i="17"/>
  <c r="Y253" i="14"/>
  <c r="N254" i="17" s="1"/>
  <c r="AA253" i="14"/>
  <c r="P254" i="17" s="1"/>
  <c r="F254" i="14"/>
  <c r="H254" i="14"/>
  <c r="A254" i="17"/>
  <c r="Z253" i="14"/>
  <c r="O254" i="17" s="1"/>
  <c r="E255" i="14"/>
  <c r="AC254" i="14"/>
  <c r="R255" i="17" s="1"/>
  <c r="AB254" i="14"/>
  <c r="Q255" i="17" s="1"/>
  <c r="B257" i="17"/>
  <c r="G256" i="14"/>
  <c r="AA54" i="15" s="1"/>
  <c r="L254" i="14"/>
  <c r="C256" i="14"/>
  <c r="I256" i="14"/>
  <c r="D256" i="14"/>
  <c r="B256" i="14"/>
  <c r="A256" i="14"/>
  <c r="J255" i="14"/>
  <c r="K255" i="14" s="1"/>
  <c r="AD255" i="14" s="1"/>
  <c r="S256" i="17" s="1"/>
  <c r="Y53" i="15"/>
  <c r="Z53" i="15"/>
  <c r="X51" i="15"/>
  <c r="M257" i="14"/>
  <c r="V54" i="15"/>
  <c r="O256" i="14"/>
  <c r="D257" i="17" s="1"/>
  <c r="P256" i="14"/>
  <c r="E257" i="17" s="1"/>
  <c r="N256" i="14"/>
  <c r="C257" i="17" s="1"/>
  <c r="W53" i="15"/>
  <c r="J254" i="17" l="1"/>
  <c r="Q254" i="14"/>
  <c r="F255" i="17" s="1"/>
  <c r="W254" i="14"/>
  <c r="L255" i="17" s="1"/>
  <c r="S254" i="14"/>
  <c r="H255" i="17" s="1"/>
  <c r="AA254" i="14"/>
  <c r="P255" i="17" s="1"/>
  <c r="Y254" i="14"/>
  <c r="N255" i="17" s="1"/>
  <c r="F255" i="14"/>
  <c r="H255" i="14"/>
  <c r="A255" i="17"/>
  <c r="Z254" i="14"/>
  <c r="O255" i="17" s="1"/>
  <c r="B258" i="17"/>
  <c r="G257" i="14"/>
  <c r="AA55" i="15" s="1"/>
  <c r="AC255" i="14"/>
  <c r="R256" i="17" s="1"/>
  <c r="AB255" i="14"/>
  <c r="Q256" i="17" s="1"/>
  <c r="L255" i="14"/>
  <c r="E256" i="14"/>
  <c r="J256" i="14"/>
  <c r="K256" i="14" s="1"/>
  <c r="AD256" i="14" s="1"/>
  <c r="S257" i="17" s="1"/>
  <c r="D257" i="14"/>
  <c r="C257" i="14"/>
  <c r="I257" i="14"/>
  <c r="B257" i="14"/>
  <c r="A257" i="14"/>
  <c r="Y54" i="15"/>
  <c r="Z54" i="15"/>
  <c r="X52" i="15"/>
  <c r="N257" i="14"/>
  <c r="C258" i="17" s="1"/>
  <c r="O257" i="14"/>
  <c r="D258" i="17" s="1"/>
  <c r="V55" i="15"/>
  <c r="M258" i="14"/>
  <c r="P257" i="14"/>
  <c r="E258" i="17" s="1"/>
  <c r="W54" i="15"/>
  <c r="Q255" i="14" l="1"/>
  <c r="F256" i="17" s="1"/>
  <c r="L256" i="17"/>
  <c r="AA255" i="14"/>
  <c r="P256" i="17" s="1"/>
  <c r="Y255" i="14"/>
  <c r="N256" i="17" s="1"/>
  <c r="U254" i="14"/>
  <c r="J255" i="17" s="1"/>
  <c r="F256" i="14"/>
  <c r="H256" i="14"/>
  <c r="A256" i="17"/>
  <c r="Z255" i="14"/>
  <c r="O256" i="17" s="1"/>
  <c r="B259" i="17"/>
  <c r="G258" i="14"/>
  <c r="AA56" i="15" s="1"/>
  <c r="AC256" i="14"/>
  <c r="R257" i="17" s="1"/>
  <c r="AB256" i="14"/>
  <c r="Q257" i="17" s="1"/>
  <c r="L256" i="14"/>
  <c r="E257" i="14"/>
  <c r="J257" i="14"/>
  <c r="K257" i="14" s="1"/>
  <c r="AD257" i="14" s="1"/>
  <c r="S258" i="17" s="1"/>
  <c r="I258" i="14"/>
  <c r="A258" i="14"/>
  <c r="D258" i="14"/>
  <c r="C258" i="14"/>
  <c r="B258" i="14"/>
  <c r="Z55" i="15"/>
  <c r="X53" i="15"/>
  <c r="Y55" i="15"/>
  <c r="V56" i="15"/>
  <c r="P258" i="14"/>
  <c r="E259" i="17" s="1"/>
  <c r="O258" i="14"/>
  <c r="D259" i="17" s="1"/>
  <c r="M259" i="14"/>
  <c r="N258" i="14"/>
  <c r="C259" i="17" s="1"/>
  <c r="W55" i="15"/>
  <c r="Q256" i="14" l="1"/>
  <c r="F257" i="17" s="1"/>
  <c r="L257" i="17"/>
  <c r="AA256" i="14"/>
  <c r="P257" i="17" s="1"/>
  <c r="Y256" i="14"/>
  <c r="N257" i="17" s="1"/>
  <c r="F257" i="14"/>
  <c r="H257" i="14"/>
  <c r="A257" i="17"/>
  <c r="Z256" i="14"/>
  <c r="O257" i="17" s="1"/>
  <c r="AC257" i="14"/>
  <c r="R258" i="17" s="1"/>
  <c r="AB257" i="14"/>
  <c r="Q258" i="17" s="1"/>
  <c r="B260" i="17"/>
  <c r="G259" i="14"/>
  <c r="AA57" i="15" s="1"/>
  <c r="J256" i="17"/>
  <c r="H256" i="17"/>
  <c r="L257" i="14"/>
  <c r="C259" i="14"/>
  <c r="B259" i="14"/>
  <c r="A259" i="14"/>
  <c r="I259" i="14"/>
  <c r="D259" i="14"/>
  <c r="J258" i="14"/>
  <c r="K258" i="14" s="1"/>
  <c r="AD258" i="14" s="1"/>
  <c r="S259" i="17" s="1"/>
  <c r="H257" i="17"/>
  <c r="E258" i="14"/>
  <c r="X54" i="15"/>
  <c r="Y56" i="15"/>
  <c r="Z56" i="15"/>
  <c r="W56" i="15"/>
  <c r="N259" i="14"/>
  <c r="C260" i="17" s="1"/>
  <c r="P259" i="14"/>
  <c r="E260" i="17" s="1"/>
  <c r="M260" i="14"/>
  <c r="V57" i="15"/>
  <c r="O259" i="14"/>
  <c r="D260" i="17" s="1"/>
  <c r="Q257" i="14" l="1"/>
  <c r="F258" i="17" s="1"/>
  <c r="L258" i="17"/>
  <c r="H258" i="17"/>
  <c r="F258" i="14"/>
  <c r="H258" i="14"/>
  <c r="Y257" i="14"/>
  <c r="N258" i="17" s="1"/>
  <c r="AA257" i="14"/>
  <c r="P258" i="17" s="1"/>
  <c r="A258" i="17"/>
  <c r="Z257" i="14"/>
  <c r="O258" i="17" s="1"/>
  <c r="B261" i="17"/>
  <c r="G260" i="14"/>
  <c r="AA58" i="15" s="1"/>
  <c r="L258" i="14"/>
  <c r="AC258" i="14"/>
  <c r="R259" i="17" s="1"/>
  <c r="AB258" i="14"/>
  <c r="Q259" i="17" s="1"/>
  <c r="J257" i="17"/>
  <c r="A260" i="14"/>
  <c r="D260" i="14"/>
  <c r="C260" i="14"/>
  <c r="B260" i="14"/>
  <c r="I260" i="14"/>
  <c r="E259" i="14"/>
  <c r="J259" i="14"/>
  <c r="K259" i="14" s="1"/>
  <c r="AD259" i="14" s="1"/>
  <c r="S260" i="17" s="1"/>
  <c r="X55" i="15"/>
  <c r="Y57" i="15"/>
  <c r="Z57" i="15"/>
  <c r="W57" i="15"/>
  <c r="V58" i="15"/>
  <c r="N260" i="14"/>
  <c r="C261" i="17" s="1"/>
  <c r="P260" i="14"/>
  <c r="E261" i="17" s="1"/>
  <c r="O260" i="14"/>
  <c r="D261" i="17" s="1"/>
  <c r="M261" i="14"/>
  <c r="Q258" i="14" l="1"/>
  <c r="F259" i="17" s="1"/>
  <c r="L259" i="17"/>
  <c r="H259" i="17"/>
  <c r="J258" i="17"/>
  <c r="F259" i="14"/>
  <c r="H259" i="14"/>
  <c r="AA258" i="14"/>
  <c r="P259" i="17" s="1"/>
  <c r="Y258" i="14"/>
  <c r="N259" i="17" s="1"/>
  <c r="A259" i="17"/>
  <c r="Z258" i="14"/>
  <c r="O259" i="17" s="1"/>
  <c r="B262" i="17"/>
  <c r="G261" i="14"/>
  <c r="AA59" i="15" s="1"/>
  <c r="AC259" i="14"/>
  <c r="R260" i="17" s="1"/>
  <c r="AB259" i="14"/>
  <c r="Q260" i="17" s="1"/>
  <c r="E260" i="14"/>
  <c r="L259" i="14"/>
  <c r="J260" i="14"/>
  <c r="K260" i="14" s="1"/>
  <c r="AD260" i="14" s="1"/>
  <c r="S261" i="17" s="1"/>
  <c r="I261" i="14"/>
  <c r="B261" i="14"/>
  <c r="A261" i="14"/>
  <c r="D261" i="14"/>
  <c r="C261" i="14"/>
  <c r="Y58" i="15"/>
  <c r="Z58" i="15"/>
  <c r="X56" i="15"/>
  <c r="W58" i="15"/>
  <c r="P261" i="14"/>
  <c r="E262" i="17" s="1"/>
  <c r="O261" i="14"/>
  <c r="D262" i="17" s="1"/>
  <c r="M262" i="14"/>
  <c r="N261" i="14"/>
  <c r="C262" i="17" s="1"/>
  <c r="V59" i="15"/>
  <c r="Q259" i="14" l="1"/>
  <c r="F260" i="17" s="1"/>
  <c r="L260" i="17"/>
  <c r="H260" i="17"/>
  <c r="J259" i="17"/>
  <c r="AA259" i="14"/>
  <c r="P260" i="17" s="1"/>
  <c r="Y259" i="14"/>
  <c r="N260" i="17" s="1"/>
  <c r="F260" i="14"/>
  <c r="H260" i="14"/>
  <c r="A260" i="17"/>
  <c r="Z259" i="14"/>
  <c r="O260" i="17" s="1"/>
  <c r="B263" i="17"/>
  <c r="G262" i="14"/>
  <c r="AA60" i="15" s="1"/>
  <c r="AB260" i="14"/>
  <c r="Q261" i="17" s="1"/>
  <c r="AC260" i="14"/>
  <c r="R261" i="17" s="1"/>
  <c r="L260" i="14"/>
  <c r="J261" i="14"/>
  <c r="K261" i="14" s="1"/>
  <c r="AD261" i="14" s="1"/>
  <c r="S262" i="17" s="1"/>
  <c r="C262" i="14"/>
  <c r="B262" i="14"/>
  <c r="I262" i="14"/>
  <c r="D262" i="14"/>
  <c r="A262" i="14"/>
  <c r="E261" i="14"/>
  <c r="Y59" i="15"/>
  <c r="Z59" i="15"/>
  <c r="X57" i="15"/>
  <c r="V60" i="15"/>
  <c r="O262" i="14"/>
  <c r="D263" i="17" s="1"/>
  <c r="N262" i="14"/>
  <c r="C263" i="17" s="1"/>
  <c r="M263" i="14"/>
  <c r="P262" i="14"/>
  <c r="E263" i="17" s="1"/>
  <c r="W59" i="15"/>
  <c r="Q260" i="14" l="1"/>
  <c r="F261" i="17" s="1"/>
  <c r="L261" i="17"/>
  <c r="H261" i="17"/>
  <c r="J260" i="17"/>
  <c r="AA260" i="14"/>
  <c r="P261" i="17" s="1"/>
  <c r="Y260" i="14"/>
  <c r="N261" i="17" s="1"/>
  <c r="F261" i="14"/>
  <c r="H261" i="14"/>
  <c r="A261" i="17"/>
  <c r="Z260" i="14"/>
  <c r="O261" i="17" s="1"/>
  <c r="B264" i="17"/>
  <c r="G263" i="14"/>
  <c r="AA61" i="15" s="1"/>
  <c r="AB261" i="14"/>
  <c r="Q262" i="17" s="1"/>
  <c r="AC261" i="14"/>
  <c r="R262" i="17" s="1"/>
  <c r="L261" i="14"/>
  <c r="I263" i="14"/>
  <c r="A263" i="14"/>
  <c r="D263" i="14"/>
  <c r="C263" i="14"/>
  <c r="B263" i="14"/>
  <c r="E262" i="14"/>
  <c r="J262" i="14"/>
  <c r="K262" i="14" s="1"/>
  <c r="AD262" i="14" s="1"/>
  <c r="S263" i="17" s="1"/>
  <c r="Z60" i="15"/>
  <c r="X58" i="15"/>
  <c r="Y60" i="15"/>
  <c r="V61" i="15"/>
  <c r="M264" i="14"/>
  <c r="P263" i="14"/>
  <c r="E264" i="17" s="1"/>
  <c r="N263" i="14"/>
  <c r="C264" i="17" s="1"/>
  <c r="O263" i="14"/>
  <c r="D264" i="17" s="1"/>
  <c r="W60" i="15"/>
  <c r="Q261" i="14" l="1"/>
  <c r="L262" i="17"/>
  <c r="H262" i="17"/>
  <c r="J261" i="17"/>
  <c r="Y261" i="14"/>
  <c r="N262" i="17" s="1"/>
  <c r="AA261" i="14"/>
  <c r="P262" i="17" s="1"/>
  <c r="F262" i="14"/>
  <c r="H262" i="14"/>
  <c r="A262" i="17"/>
  <c r="Z261" i="14"/>
  <c r="O262" i="17" s="1"/>
  <c r="AC262" i="14"/>
  <c r="R263" i="17" s="1"/>
  <c r="AB262" i="14"/>
  <c r="Q263" i="17" s="1"/>
  <c r="B265" i="17"/>
  <c r="G264" i="14"/>
  <c r="AA62" i="15" s="1"/>
  <c r="E263" i="14"/>
  <c r="L262" i="14"/>
  <c r="J263" i="14"/>
  <c r="K263" i="14" s="1"/>
  <c r="AD263" i="14" s="1"/>
  <c r="S264" i="17" s="1"/>
  <c r="F262" i="17"/>
  <c r="C264" i="14"/>
  <c r="I264" i="14"/>
  <c r="B264" i="14"/>
  <c r="A264" i="14"/>
  <c r="D264" i="14"/>
  <c r="Y61" i="15"/>
  <c r="X59" i="15"/>
  <c r="Z61" i="15"/>
  <c r="W61" i="15"/>
  <c r="N264" i="14"/>
  <c r="C265" i="17" s="1"/>
  <c r="M265" i="14"/>
  <c r="V62" i="15"/>
  <c r="O264" i="14"/>
  <c r="D265" i="17" s="1"/>
  <c r="P264" i="14"/>
  <c r="E265" i="17" s="1"/>
  <c r="J262" i="17" l="1"/>
  <c r="Q262" i="14"/>
  <c r="F263" i="17" s="1"/>
  <c r="W262" i="14"/>
  <c r="L263" i="17" s="1"/>
  <c r="U262" i="14"/>
  <c r="S262" i="14"/>
  <c r="AA262" i="14"/>
  <c r="Y262" i="14"/>
  <c r="F263" i="14"/>
  <c r="H263" i="14"/>
  <c r="A263" i="17"/>
  <c r="Z262" i="14"/>
  <c r="O263" i="17" s="1"/>
  <c r="B266" i="17"/>
  <c r="G265" i="14"/>
  <c r="AA63" i="15" s="1"/>
  <c r="AC263" i="14"/>
  <c r="R264" i="17" s="1"/>
  <c r="AB263" i="14"/>
  <c r="Q264" i="17" s="1"/>
  <c r="L263" i="14"/>
  <c r="J264" i="14"/>
  <c r="K264" i="14" s="1"/>
  <c r="AD264" i="14" s="1"/>
  <c r="S265" i="17" s="1"/>
  <c r="P263" i="17"/>
  <c r="N263" i="17"/>
  <c r="D265" i="14"/>
  <c r="C265" i="14"/>
  <c r="B265" i="14"/>
  <c r="A265" i="14"/>
  <c r="I265" i="14"/>
  <c r="E264" i="14"/>
  <c r="Y62" i="15"/>
  <c r="X60" i="15"/>
  <c r="Z62" i="15"/>
  <c r="O265" i="14"/>
  <c r="D266" i="17" s="1"/>
  <c r="V63" i="15"/>
  <c r="M266" i="14"/>
  <c r="P265" i="14"/>
  <c r="E266" i="17" s="1"/>
  <c r="N265" i="14"/>
  <c r="C266" i="17" s="1"/>
  <c r="W62" i="15"/>
  <c r="AC256" i="17" l="1"/>
  <c r="AC257" i="17" s="1"/>
  <c r="Y263" i="14"/>
  <c r="N264" i="17" s="1"/>
  <c r="Q263" i="14"/>
  <c r="F264" i="17" s="1"/>
  <c r="W263" i="14"/>
  <c r="L264" i="17" s="1"/>
  <c r="S263" i="14"/>
  <c r="U263" i="14" s="1"/>
  <c r="AA263" i="14"/>
  <c r="P264" i="17" s="1"/>
  <c r="F264" i="14"/>
  <c r="H264" i="14"/>
  <c r="A264" i="17"/>
  <c r="Z263" i="14"/>
  <c r="O264" i="17" s="1"/>
  <c r="AC264" i="14"/>
  <c r="R265" i="17" s="1"/>
  <c r="AB264" i="14"/>
  <c r="Q265" i="17" s="1"/>
  <c r="B267" i="17"/>
  <c r="G266" i="14"/>
  <c r="AA64" i="15" s="1"/>
  <c r="J263" i="17"/>
  <c r="H263" i="17"/>
  <c r="E265" i="14"/>
  <c r="L264" i="14"/>
  <c r="J265" i="14"/>
  <c r="K265" i="14" s="1"/>
  <c r="AD265" i="14" s="1"/>
  <c r="S266" i="17" s="1"/>
  <c r="I266" i="14"/>
  <c r="A266" i="14"/>
  <c r="D266" i="14"/>
  <c r="C266" i="14"/>
  <c r="B266" i="14"/>
  <c r="Y63" i="15"/>
  <c r="Z63" i="15"/>
  <c r="X61" i="15"/>
  <c r="W63" i="15"/>
  <c r="O266" i="14"/>
  <c r="D267" i="17" s="1"/>
  <c r="N266" i="14"/>
  <c r="C267" i="17" s="1"/>
  <c r="M267" i="14"/>
  <c r="P266" i="14"/>
  <c r="E267" i="17" s="1"/>
  <c r="V64" i="15"/>
  <c r="Z256" i="17" l="1"/>
  <c r="AA256" i="17"/>
  <c r="Q264" i="14"/>
  <c r="F265" i="17" s="1"/>
  <c r="W264" i="14"/>
  <c r="L265" i="17" s="1"/>
  <c r="S264" i="14"/>
  <c r="U264" i="14" s="1"/>
  <c r="AA264" i="14"/>
  <c r="Y264" i="14"/>
  <c r="N265" i="17" s="1"/>
  <c r="F265" i="14"/>
  <c r="H265" i="14"/>
  <c r="A265" i="17"/>
  <c r="Z264" i="14"/>
  <c r="O265" i="17" s="1"/>
  <c r="B268" i="17"/>
  <c r="G267" i="14"/>
  <c r="AA65" i="15" s="1"/>
  <c r="AC265" i="14"/>
  <c r="R266" i="17" s="1"/>
  <c r="AB265" i="14"/>
  <c r="Q266" i="17" s="1"/>
  <c r="J264" i="17"/>
  <c r="H264" i="17"/>
  <c r="L265" i="14"/>
  <c r="J266" i="14"/>
  <c r="K266" i="14" s="1"/>
  <c r="AD266" i="14" s="1"/>
  <c r="S267" i="17" s="1"/>
  <c r="C267" i="14"/>
  <c r="B267" i="14"/>
  <c r="I267" i="14"/>
  <c r="D267" i="14"/>
  <c r="A267" i="14"/>
  <c r="E266" i="14"/>
  <c r="P265" i="17"/>
  <c r="H265" i="17"/>
  <c r="Y64" i="15"/>
  <c r="X62" i="15"/>
  <c r="Z64" i="15"/>
  <c r="O267" i="14"/>
  <c r="D268" i="17" s="1"/>
  <c r="N267" i="14"/>
  <c r="C268" i="17" s="1"/>
  <c r="M271" i="14"/>
  <c r="P267" i="14"/>
  <c r="E268" i="17" s="1"/>
  <c r="V65" i="15"/>
  <c r="W64" i="15"/>
  <c r="Y265" i="14" l="1"/>
  <c r="N266" i="17" s="1"/>
  <c r="Q265" i="14"/>
  <c r="F266" i="17" s="1"/>
  <c r="W265" i="14"/>
  <c r="L266" i="17" s="1"/>
  <c r="S265" i="14"/>
  <c r="U265" i="14" s="1"/>
  <c r="AA265" i="14"/>
  <c r="P266" i="17" s="1"/>
  <c r="F266" i="14"/>
  <c r="H266" i="14"/>
  <c r="A266" i="17"/>
  <c r="Z265" i="14"/>
  <c r="O266" i="17" s="1"/>
  <c r="B272" i="17"/>
  <c r="G271" i="14"/>
  <c r="AH4" i="15" s="1"/>
  <c r="L266" i="14"/>
  <c r="AC266" i="14"/>
  <c r="R267" i="17" s="1"/>
  <c r="AB266" i="14"/>
  <c r="Q267" i="17" s="1"/>
  <c r="J265" i="17"/>
  <c r="E267" i="14"/>
  <c r="I271" i="14"/>
  <c r="A271" i="14"/>
  <c r="D271" i="14"/>
  <c r="C271" i="14"/>
  <c r="B271" i="14"/>
  <c r="J267" i="14"/>
  <c r="K267" i="14" s="1"/>
  <c r="AD267" i="14" s="1"/>
  <c r="S268" i="17" s="1"/>
  <c r="Z65" i="15"/>
  <c r="X63" i="15"/>
  <c r="Y65" i="15"/>
  <c r="P271" i="14"/>
  <c r="E272" i="17" s="1"/>
  <c r="N271" i="14"/>
  <c r="C272" i="17" s="1"/>
  <c r="M272" i="14"/>
  <c r="AC4" i="15"/>
  <c r="O271" i="14"/>
  <c r="D272" i="17" s="1"/>
  <c r="W65" i="15"/>
  <c r="H266" i="17" l="1"/>
  <c r="Y266" i="14"/>
  <c r="N267" i="17" s="1"/>
  <c r="Q266" i="14"/>
  <c r="F267" i="17" s="1"/>
  <c r="W266" i="14"/>
  <c r="L267" i="17" s="1"/>
  <c r="S266" i="14"/>
  <c r="U266" i="14" s="1"/>
  <c r="J267" i="17" s="1"/>
  <c r="AA266" i="14"/>
  <c r="P267" i="17" s="1"/>
  <c r="F267" i="14"/>
  <c r="H267" i="14"/>
  <c r="A267" i="17"/>
  <c r="Z266" i="14"/>
  <c r="O267" i="17" s="1"/>
  <c r="B273" i="17"/>
  <c r="G272" i="14"/>
  <c r="AH5" i="15" s="1"/>
  <c r="AC267" i="14"/>
  <c r="R268" i="17" s="1"/>
  <c r="AB267" i="14"/>
  <c r="Q268" i="17" s="1"/>
  <c r="J271" i="14"/>
  <c r="K271" i="14" s="1"/>
  <c r="AD271" i="14" s="1"/>
  <c r="S272" i="17" s="1"/>
  <c r="J266" i="17"/>
  <c r="C272" i="14"/>
  <c r="B272" i="14"/>
  <c r="A272" i="14"/>
  <c r="I272" i="14"/>
  <c r="D272" i="14"/>
  <c r="L267" i="14"/>
  <c r="E271" i="14"/>
  <c r="AF4" i="15"/>
  <c r="AG4" i="15"/>
  <c r="X64" i="15"/>
  <c r="M273" i="14"/>
  <c r="AC5" i="15"/>
  <c r="P272" i="14"/>
  <c r="E273" i="17" s="1"/>
  <c r="N272" i="14"/>
  <c r="C273" i="17" s="1"/>
  <c r="O272" i="14"/>
  <c r="D273" i="17" s="1"/>
  <c r="AD4" i="15"/>
  <c r="H267" i="17" l="1"/>
  <c r="Q267" i="14"/>
  <c r="F268" i="17" s="1"/>
  <c r="F270" i="17" s="1"/>
  <c r="W267" i="14"/>
  <c r="L268" i="17" s="1"/>
  <c r="S267" i="14"/>
  <c r="U267" i="14" s="1"/>
  <c r="AA267" i="14"/>
  <c r="P268" i="17" s="1"/>
  <c r="Y267" i="14"/>
  <c r="N268" i="17" s="1"/>
  <c r="F271" i="14"/>
  <c r="H271" i="14"/>
  <c r="A268" i="17"/>
  <c r="Z267" i="14"/>
  <c r="O268" i="17" s="1"/>
  <c r="AC271" i="14"/>
  <c r="R272" i="17" s="1"/>
  <c r="AB271" i="14"/>
  <c r="Q272" i="17" s="1"/>
  <c r="B274" i="17"/>
  <c r="G273" i="14"/>
  <c r="AH6" i="15" s="1"/>
  <c r="E272" i="14"/>
  <c r="L271" i="14"/>
  <c r="J272" i="14"/>
  <c r="K272" i="14" s="1"/>
  <c r="AD272" i="14" s="1"/>
  <c r="S273" i="17" s="1"/>
  <c r="A273" i="14"/>
  <c r="D273" i="14"/>
  <c r="C273" i="14"/>
  <c r="B273" i="14"/>
  <c r="I273" i="14"/>
  <c r="AG5" i="15"/>
  <c r="X65" i="15"/>
  <c r="AF5" i="15"/>
  <c r="P273" i="14"/>
  <c r="E274" i="17" s="1"/>
  <c r="O273" i="14"/>
  <c r="D274" i="17" s="1"/>
  <c r="AC6" i="15"/>
  <c r="N273" i="14"/>
  <c r="C274" i="17" s="1"/>
  <c r="M274" i="14"/>
  <c r="AD5" i="15"/>
  <c r="Q271" i="14" l="1"/>
  <c r="W271" i="14"/>
  <c r="S271" i="14"/>
  <c r="U271" i="14" s="1"/>
  <c r="AA271" i="14"/>
  <c r="P272" i="17" s="1"/>
  <c r="Y271" i="14"/>
  <c r="F272" i="14"/>
  <c r="H272" i="14"/>
  <c r="A272" i="17"/>
  <c r="Z271" i="14"/>
  <c r="O272" i="17" s="1"/>
  <c r="B275" i="17"/>
  <c r="G274" i="14"/>
  <c r="AH7" i="15" s="1"/>
  <c r="AC272" i="14"/>
  <c r="R273" i="17" s="1"/>
  <c r="AB272" i="14"/>
  <c r="Q273" i="17" s="1"/>
  <c r="J268" i="17"/>
  <c r="H268" i="17"/>
  <c r="AA412" i="17"/>
  <c r="L272" i="14"/>
  <c r="E273" i="14"/>
  <c r="J273" i="14"/>
  <c r="K273" i="14" s="1"/>
  <c r="AD273" i="14" s="1"/>
  <c r="S274" i="17" s="1"/>
  <c r="L272" i="17"/>
  <c r="N272" i="17"/>
  <c r="F272" i="17"/>
  <c r="B274" i="14"/>
  <c r="I274" i="14"/>
  <c r="A274" i="14"/>
  <c r="D274" i="14"/>
  <c r="C274" i="14"/>
  <c r="AE4" i="15"/>
  <c r="AF6" i="15"/>
  <c r="AG6" i="15"/>
  <c r="N274" i="14"/>
  <c r="C275" i="17" s="1"/>
  <c r="O274" i="14"/>
  <c r="D275" i="17" s="1"/>
  <c r="M275" i="14"/>
  <c r="P274" i="14"/>
  <c r="E275" i="17" s="1"/>
  <c r="AC7" i="15"/>
  <c r="AD6" i="15"/>
  <c r="Q272" i="14" l="1"/>
  <c r="F273" i="17" s="1"/>
  <c r="W272" i="14"/>
  <c r="L273" i="17" s="1"/>
  <c r="S272" i="14"/>
  <c r="U272" i="14" s="1"/>
  <c r="Y272" i="14"/>
  <c r="AA272" i="14"/>
  <c r="P273" i="17" s="1"/>
  <c r="F273" i="14"/>
  <c r="H273" i="14"/>
  <c r="A273" i="17"/>
  <c r="Z272" i="14"/>
  <c r="O273" i="17" s="1"/>
  <c r="B276" i="17"/>
  <c r="G275" i="14"/>
  <c r="AH8" i="15" s="1"/>
  <c r="AC273" i="14"/>
  <c r="R274" i="17" s="1"/>
  <c r="AB273" i="14"/>
  <c r="Q274" i="17" s="1"/>
  <c r="E274" i="14"/>
  <c r="J272" i="17"/>
  <c r="H272" i="17"/>
  <c r="L273" i="14"/>
  <c r="J274" i="14"/>
  <c r="K274" i="14" s="1"/>
  <c r="AD274" i="14" s="1"/>
  <c r="S275" i="17" s="1"/>
  <c r="D275" i="14"/>
  <c r="C275" i="14"/>
  <c r="I275" i="14"/>
  <c r="B275" i="14"/>
  <c r="A275" i="14"/>
  <c r="N273" i="17"/>
  <c r="AE5" i="15"/>
  <c r="AF7" i="15"/>
  <c r="AG7" i="15"/>
  <c r="P275" i="14"/>
  <c r="E276" i="17" s="1"/>
  <c r="M276" i="14"/>
  <c r="O275" i="14"/>
  <c r="D276" i="17" s="1"/>
  <c r="AC8" i="15"/>
  <c r="N275" i="14"/>
  <c r="C276" i="17" s="1"/>
  <c r="AD7" i="15"/>
  <c r="Y273" i="14" l="1"/>
  <c r="N274" i="17" s="1"/>
  <c r="Q273" i="14"/>
  <c r="W273" i="14"/>
  <c r="L274" i="17" s="1"/>
  <c r="S273" i="14"/>
  <c r="U273" i="14" s="1"/>
  <c r="AA273" i="14"/>
  <c r="P274" i="17" s="1"/>
  <c r="F274" i="14"/>
  <c r="H274" i="14"/>
  <c r="A274" i="17"/>
  <c r="Z273" i="14"/>
  <c r="O274" i="17" s="1"/>
  <c r="B277" i="17"/>
  <c r="G276" i="14"/>
  <c r="AH9" i="15" s="1"/>
  <c r="AC274" i="14"/>
  <c r="R275" i="17" s="1"/>
  <c r="AB274" i="14"/>
  <c r="Q275" i="17" s="1"/>
  <c r="E275" i="14"/>
  <c r="J273" i="17"/>
  <c r="H273" i="17"/>
  <c r="AB412" i="17"/>
  <c r="L274" i="14"/>
  <c r="J275" i="14"/>
  <c r="K275" i="14" s="1"/>
  <c r="AD275" i="14" s="1"/>
  <c r="S276" i="17" s="1"/>
  <c r="B276" i="14"/>
  <c r="I276" i="14"/>
  <c r="A276" i="14"/>
  <c r="D276" i="14"/>
  <c r="C276" i="14"/>
  <c r="F274" i="17"/>
  <c r="AF8" i="15"/>
  <c r="AE6" i="15"/>
  <c r="AG8" i="15"/>
  <c r="N276" i="14"/>
  <c r="C277" i="17" s="1"/>
  <c r="O276" i="14"/>
  <c r="D277" i="17" s="1"/>
  <c r="M277" i="14"/>
  <c r="P276" i="14"/>
  <c r="E277" i="17" s="1"/>
  <c r="AC9" i="15"/>
  <c r="AD8" i="15"/>
  <c r="Y274" i="14" l="1"/>
  <c r="N275" i="17" s="1"/>
  <c r="Q274" i="14"/>
  <c r="F275" i="17" s="1"/>
  <c r="W274" i="14"/>
  <c r="L275" i="17" s="1"/>
  <c r="S274" i="14"/>
  <c r="U274" i="14" s="1"/>
  <c r="AA274" i="14"/>
  <c r="P275" i="17" s="1"/>
  <c r="F275" i="14"/>
  <c r="H275" i="14"/>
  <c r="A275" i="17"/>
  <c r="Z274" i="14"/>
  <c r="O275" i="17" s="1"/>
  <c r="B278" i="17"/>
  <c r="G277" i="14"/>
  <c r="AH10" i="15" s="1"/>
  <c r="L275" i="14"/>
  <c r="AB275" i="14"/>
  <c r="Q276" i="17" s="1"/>
  <c r="AC275" i="14"/>
  <c r="R276" i="17" s="1"/>
  <c r="E276" i="14"/>
  <c r="J274" i="17"/>
  <c r="H274" i="17"/>
  <c r="AC412" i="17"/>
  <c r="J276" i="14"/>
  <c r="K276" i="14" s="1"/>
  <c r="AD276" i="14" s="1"/>
  <c r="S277" i="17" s="1"/>
  <c r="D277" i="14"/>
  <c r="C277" i="14"/>
  <c r="B277" i="14"/>
  <c r="A277" i="14"/>
  <c r="I277" i="14"/>
  <c r="AG9" i="15"/>
  <c r="AE7" i="15"/>
  <c r="AF9" i="15"/>
  <c r="P277" i="14"/>
  <c r="E278" i="17" s="1"/>
  <c r="N277" i="14"/>
  <c r="C278" i="17" s="1"/>
  <c r="M278" i="14"/>
  <c r="O277" i="14"/>
  <c r="D278" i="17" s="1"/>
  <c r="AC10" i="15"/>
  <c r="AD9" i="15"/>
  <c r="H275" i="17" l="1"/>
  <c r="Y275" i="14"/>
  <c r="N276" i="17" s="1"/>
  <c r="Q275" i="14"/>
  <c r="F276" i="17" s="1"/>
  <c r="W275" i="14"/>
  <c r="L276" i="17" s="1"/>
  <c r="S275" i="14"/>
  <c r="U275" i="14" s="1"/>
  <c r="AA275" i="14"/>
  <c r="P276" i="17" s="1"/>
  <c r="F276" i="14"/>
  <c r="H276" i="14"/>
  <c r="A276" i="17"/>
  <c r="Z275" i="14"/>
  <c r="O276" i="17" s="1"/>
  <c r="B279" i="17"/>
  <c r="G278" i="14"/>
  <c r="AH11" i="15" s="1"/>
  <c r="AC276" i="14"/>
  <c r="R277" i="17" s="1"/>
  <c r="AB276" i="14"/>
  <c r="Q277" i="17" s="1"/>
  <c r="J275" i="17"/>
  <c r="J277" i="14"/>
  <c r="K277" i="14" s="1"/>
  <c r="AD277" i="14" s="1"/>
  <c r="S278" i="17" s="1"/>
  <c r="E277" i="14"/>
  <c r="I278" i="14"/>
  <c r="A278" i="14"/>
  <c r="D278" i="14"/>
  <c r="C278" i="14"/>
  <c r="B278" i="14"/>
  <c r="L276" i="14"/>
  <c r="AE8" i="15"/>
  <c r="AG10" i="15"/>
  <c r="AF10" i="15"/>
  <c r="O278" i="14"/>
  <c r="D279" i="17" s="1"/>
  <c r="AC11" i="15"/>
  <c r="P278" i="14"/>
  <c r="E279" i="17" s="1"/>
  <c r="M279" i="14"/>
  <c r="N278" i="14"/>
  <c r="C279" i="17" s="1"/>
  <c r="AD10" i="15"/>
  <c r="H276" i="17" l="1"/>
  <c r="Y276" i="14"/>
  <c r="N277" i="17" s="1"/>
  <c r="Q276" i="14"/>
  <c r="F277" i="17" s="1"/>
  <c r="L277" i="17"/>
  <c r="AA276" i="14"/>
  <c r="P277" i="17" s="1"/>
  <c r="F277" i="14"/>
  <c r="H277" i="14"/>
  <c r="J276" i="17"/>
  <c r="A277" i="17"/>
  <c r="Z276" i="14"/>
  <c r="O277" i="17" s="1"/>
  <c r="B280" i="17"/>
  <c r="G279" i="14"/>
  <c r="AH12" i="15" s="1"/>
  <c r="AC277" i="14"/>
  <c r="R278" i="17" s="1"/>
  <c r="AB277" i="14"/>
  <c r="Q278" i="17" s="1"/>
  <c r="L277" i="14"/>
  <c r="J278" i="14"/>
  <c r="K278" i="14" s="1"/>
  <c r="AD278" i="14" s="1"/>
  <c r="S279" i="17" s="1"/>
  <c r="C279" i="14"/>
  <c r="B279" i="14"/>
  <c r="I279" i="14"/>
  <c r="D279" i="14"/>
  <c r="A279" i="14"/>
  <c r="E278" i="14"/>
  <c r="AF11" i="15"/>
  <c r="AE9" i="15"/>
  <c r="AG11" i="15"/>
  <c r="AD11" i="15"/>
  <c r="M280" i="14"/>
  <c r="AC12" i="15"/>
  <c r="P279" i="14"/>
  <c r="E280" i="17" s="1"/>
  <c r="O279" i="14"/>
  <c r="D280" i="17" s="1"/>
  <c r="N279" i="14"/>
  <c r="C280" i="17" s="1"/>
  <c r="Q277" i="14" l="1"/>
  <c r="F278" i="17" s="1"/>
  <c r="L278" i="17"/>
  <c r="AA277" i="14"/>
  <c r="P278" i="17" s="1"/>
  <c r="Y277" i="14"/>
  <c r="N278" i="17" s="1"/>
  <c r="F278" i="14"/>
  <c r="H278" i="14"/>
  <c r="A278" i="17"/>
  <c r="Z277" i="14"/>
  <c r="O278" i="17" s="1"/>
  <c r="L278" i="14"/>
  <c r="AC278" i="14"/>
  <c r="R279" i="17" s="1"/>
  <c r="AB278" i="14"/>
  <c r="Q279" i="17" s="1"/>
  <c r="B281" i="17"/>
  <c r="G280" i="14"/>
  <c r="AH13" i="15" s="1"/>
  <c r="J277" i="17"/>
  <c r="H277" i="17"/>
  <c r="E279" i="14"/>
  <c r="J279" i="14"/>
  <c r="K279" i="14" s="1"/>
  <c r="AD279" i="14" s="1"/>
  <c r="S280" i="17" s="1"/>
  <c r="I280" i="14"/>
  <c r="A280" i="14"/>
  <c r="D280" i="14"/>
  <c r="C280" i="14"/>
  <c r="B280" i="14"/>
  <c r="AG12" i="15"/>
  <c r="AE10" i="15"/>
  <c r="AF12" i="15"/>
  <c r="AD12" i="15"/>
  <c r="O280" i="14"/>
  <c r="D281" i="17" s="1"/>
  <c r="P280" i="14"/>
  <c r="E281" i="17" s="1"/>
  <c r="N280" i="14"/>
  <c r="C281" i="17" s="1"/>
  <c r="AC13" i="15"/>
  <c r="M281" i="14"/>
  <c r="Y278" i="14" l="1"/>
  <c r="N279" i="17" s="1"/>
  <c r="Q278" i="14"/>
  <c r="F279" i="17" s="1"/>
  <c r="W278" i="14"/>
  <c r="L279" i="17" s="1"/>
  <c r="S278" i="14"/>
  <c r="U278" i="14" s="1"/>
  <c r="J279" i="17" s="1"/>
  <c r="AA278" i="14"/>
  <c r="P279" i="17" s="1"/>
  <c r="F279" i="14"/>
  <c r="H279" i="14"/>
  <c r="A279" i="17"/>
  <c r="Z278" i="14"/>
  <c r="O279" i="17" s="1"/>
  <c r="B282" i="17"/>
  <c r="G281" i="14"/>
  <c r="AH14" i="15" s="1"/>
  <c r="AB279" i="14"/>
  <c r="Q280" i="17" s="1"/>
  <c r="AC279" i="14"/>
  <c r="R280" i="17" s="1"/>
  <c r="J278" i="17"/>
  <c r="H278" i="17"/>
  <c r="E280" i="14"/>
  <c r="J280" i="14"/>
  <c r="K280" i="14" s="1"/>
  <c r="AD280" i="14" s="1"/>
  <c r="S281" i="17" s="1"/>
  <c r="C281" i="14"/>
  <c r="I281" i="14"/>
  <c r="B281" i="14"/>
  <c r="A281" i="14"/>
  <c r="D281" i="14"/>
  <c r="L279" i="14"/>
  <c r="AF13" i="15"/>
  <c r="AE11" i="15"/>
  <c r="AG13" i="15"/>
  <c r="O281" i="14"/>
  <c r="D282" i="17" s="1"/>
  <c r="M282" i="14"/>
  <c r="P281" i="14"/>
  <c r="E282" i="17" s="1"/>
  <c r="N281" i="14"/>
  <c r="C282" i="17" s="1"/>
  <c r="AC14" i="15"/>
  <c r="AD13" i="15"/>
  <c r="Q279" i="14" l="1"/>
  <c r="F280" i="17" s="1"/>
  <c r="W279" i="14"/>
  <c r="L280" i="17" s="1"/>
  <c r="S279" i="14"/>
  <c r="H280" i="17" s="1"/>
  <c r="AA279" i="14"/>
  <c r="P280" i="17" s="1"/>
  <c r="Y279" i="14"/>
  <c r="N280" i="17" s="1"/>
  <c r="H279" i="17"/>
  <c r="F280" i="14"/>
  <c r="H280" i="14"/>
  <c r="A280" i="17"/>
  <c r="Z279" i="14"/>
  <c r="O280" i="17" s="1"/>
  <c r="AC280" i="14"/>
  <c r="R281" i="17" s="1"/>
  <c r="AB280" i="14"/>
  <c r="Q281" i="17" s="1"/>
  <c r="B283" i="17"/>
  <c r="G282" i="14"/>
  <c r="AH15" i="15" s="1"/>
  <c r="J281" i="14"/>
  <c r="K281" i="14" s="1"/>
  <c r="AD281" i="14" s="1"/>
  <c r="S282" i="17" s="1"/>
  <c r="E281" i="14"/>
  <c r="D282" i="14"/>
  <c r="C282" i="14"/>
  <c r="B282" i="14"/>
  <c r="A282" i="14"/>
  <c r="I282" i="14"/>
  <c r="L280" i="14"/>
  <c r="AF14" i="15"/>
  <c r="AE12" i="15"/>
  <c r="AG14" i="15"/>
  <c r="AD14" i="15"/>
  <c r="N282" i="14"/>
  <c r="C283" i="17" s="1"/>
  <c r="AC15" i="15"/>
  <c r="P282" i="14"/>
  <c r="E283" i="17" s="1"/>
  <c r="O282" i="14"/>
  <c r="D283" i="17" s="1"/>
  <c r="M283" i="14"/>
  <c r="U279" i="14" l="1"/>
  <c r="J280" i="17" s="1"/>
  <c r="Q280" i="14"/>
  <c r="F281" i="17" s="1"/>
  <c r="W280" i="14"/>
  <c r="L281" i="17" s="1"/>
  <c r="S280" i="14"/>
  <c r="U280" i="14" s="1"/>
  <c r="AA280" i="14"/>
  <c r="P281" i="17" s="1"/>
  <c r="Y280" i="14"/>
  <c r="N281" i="17" s="1"/>
  <c r="F281" i="14"/>
  <c r="H281" i="14"/>
  <c r="A281" i="17"/>
  <c r="Z280" i="14"/>
  <c r="O281" i="17" s="1"/>
  <c r="L281" i="14"/>
  <c r="AC281" i="14"/>
  <c r="R282" i="17" s="1"/>
  <c r="AB281" i="14"/>
  <c r="Q282" i="17" s="1"/>
  <c r="B284" i="17"/>
  <c r="G283" i="14"/>
  <c r="AH16" i="15" s="1"/>
  <c r="E282" i="14"/>
  <c r="B283" i="14"/>
  <c r="I283" i="14"/>
  <c r="A283" i="14"/>
  <c r="D283" i="14"/>
  <c r="C283" i="14"/>
  <c r="J282" i="14"/>
  <c r="K282" i="14" s="1"/>
  <c r="AD282" i="14" s="1"/>
  <c r="S283" i="17" s="1"/>
  <c r="AG15" i="15"/>
  <c r="AE13" i="15"/>
  <c r="AF15" i="15"/>
  <c r="AD15" i="15"/>
  <c r="O283" i="14"/>
  <c r="D284" i="17" s="1"/>
  <c r="P283" i="14"/>
  <c r="E284" i="17" s="1"/>
  <c r="AC16" i="15"/>
  <c r="N283" i="14"/>
  <c r="C284" i="17" s="1"/>
  <c r="M284" i="14"/>
  <c r="Q281" i="14" l="1"/>
  <c r="F282" i="17" s="1"/>
  <c r="W281" i="14"/>
  <c r="L282" i="17" s="1"/>
  <c r="S281" i="14"/>
  <c r="H282" i="17" s="1"/>
  <c r="AA281" i="14"/>
  <c r="P282" i="17" s="1"/>
  <c r="Y281" i="14"/>
  <c r="N282" i="17" s="1"/>
  <c r="F282" i="14"/>
  <c r="H282" i="14"/>
  <c r="A282" i="17"/>
  <c r="Z281" i="14"/>
  <c r="O282" i="17" s="1"/>
  <c r="AC282" i="14"/>
  <c r="R283" i="17" s="1"/>
  <c r="AB282" i="14"/>
  <c r="Q283" i="17" s="1"/>
  <c r="B285" i="17"/>
  <c r="G284" i="14"/>
  <c r="AH17" i="15" s="1"/>
  <c r="E283" i="14"/>
  <c r="J281" i="17"/>
  <c r="H281" i="17"/>
  <c r="L282" i="14"/>
  <c r="D284" i="14"/>
  <c r="C284" i="14"/>
  <c r="I284" i="14"/>
  <c r="B284" i="14"/>
  <c r="A284" i="14"/>
  <c r="J283" i="14"/>
  <c r="K283" i="14" s="1"/>
  <c r="AD283" i="14" s="1"/>
  <c r="S284" i="17" s="1"/>
  <c r="AG16" i="15"/>
  <c r="AE14" i="15"/>
  <c r="AF16" i="15"/>
  <c r="AC17" i="15"/>
  <c r="M285" i="14"/>
  <c r="O284" i="14"/>
  <c r="D285" i="17" s="1"/>
  <c r="P284" i="14"/>
  <c r="E285" i="17" s="1"/>
  <c r="N284" i="14"/>
  <c r="C285" i="17" s="1"/>
  <c r="AD16" i="15"/>
  <c r="U281" i="14" l="1"/>
  <c r="J282" i="17" s="1"/>
  <c r="Q282" i="14"/>
  <c r="F283" i="17" s="1"/>
  <c r="W282" i="14"/>
  <c r="L283" i="17" s="1"/>
  <c r="S282" i="14"/>
  <c r="U282" i="14" s="1"/>
  <c r="Y282" i="14"/>
  <c r="N283" i="17" s="1"/>
  <c r="AA282" i="14"/>
  <c r="P283" i="17" s="1"/>
  <c r="F283" i="14"/>
  <c r="H283" i="14"/>
  <c r="A283" i="17"/>
  <c r="Z282" i="14"/>
  <c r="O283" i="17" s="1"/>
  <c r="B286" i="17"/>
  <c r="G285" i="14"/>
  <c r="AH18" i="15" s="1"/>
  <c r="AC283" i="14"/>
  <c r="R284" i="17" s="1"/>
  <c r="AB283" i="14"/>
  <c r="Q284" i="17" s="1"/>
  <c r="E284" i="14"/>
  <c r="L283" i="14"/>
  <c r="J284" i="14"/>
  <c r="K284" i="14" s="1"/>
  <c r="AD284" i="14" s="1"/>
  <c r="S285" i="17" s="1"/>
  <c r="I285" i="14"/>
  <c r="B285" i="14"/>
  <c r="A285" i="14"/>
  <c r="D285" i="14"/>
  <c r="C285" i="14"/>
  <c r="AG17" i="15"/>
  <c r="AF17" i="15"/>
  <c r="AE15" i="15"/>
  <c r="O285" i="14"/>
  <c r="D286" i="17" s="1"/>
  <c r="M286" i="14"/>
  <c r="P285" i="14"/>
  <c r="E286" i="17" s="1"/>
  <c r="AC18" i="15"/>
  <c r="N285" i="14"/>
  <c r="C286" i="17" s="1"/>
  <c r="AD17" i="15"/>
  <c r="Q283" i="14" l="1"/>
  <c r="F284" i="17" s="1"/>
  <c r="L284" i="17"/>
  <c r="H284" i="17"/>
  <c r="Y283" i="14"/>
  <c r="N284" i="17" s="1"/>
  <c r="AA283" i="14"/>
  <c r="P284" i="17" s="1"/>
  <c r="F284" i="14"/>
  <c r="H284" i="14"/>
  <c r="A284" i="17"/>
  <c r="Z283" i="14"/>
  <c r="O284" i="17" s="1"/>
  <c r="L284" i="14"/>
  <c r="AC284" i="14"/>
  <c r="R285" i="17" s="1"/>
  <c r="AB284" i="14"/>
  <c r="Q285" i="17" s="1"/>
  <c r="B287" i="17"/>
  <c r="G286" i="14"/>
  <c r="AH19" i="15" s="1"/>
  <c r="E285" i="14"/>
  <c r="J283" i="17"/>
  <c r="H283" i="17"/>
  <c r="J285" i="14"/>
  <c r="K285" i="14" s="1"/>
  <c r="AD285" i="14" s="1"/>
  <c r="S286" i="17" s="1"/>
  <c r="C286" i="14"/>
  <c r="B286" i="14"/>
  <c r="A286" i="14"/>
  <c r="I286" i="14"/>
  <c r="D286" i="14"/>
  <c r="AE16" i="15"/>
  <c r="AG18" i="15"/>
  <c r="AF18" i="15"/>
  <c r="AD18" i="15"/>
  <c r="P286" i="14"/>
  <c r="E287" i="17" s="1"/>
  <c r="O286" i="14"/>
  <c r="D287" i="17" s="1"/>
  <c r="N286" i="14"/>
  <c r="C287" i="17" s="1"/>
  <c r="M287" i="14"/>
  <c r="AC19" i="15"/>
  <c r="J284" i="17" l="1"/>
  <c r="Q284" i="14"/>
  <c r="F285" i="17" s="1"/>
  <c r="L285" i="17"/>
  <c r="H285" i="17"/>
  <c r="AA284" i="14"/>
  <c r="P285" i="17" s="1"/>
  <c r="Y284" i="14"/>
  <c r="N285" i="17" s="1"/>
  <c r="F285" i="14"/>
  <c r="H285" i="14"/>
  <c r="A285" i="17"/>
  <c r="Z284" i="14"/>
  <c r="O285" i="17" s="1"/>
  <c r="B288" i="17"/>
  <c r="G287" i="14"/>
  <c r="AH20" i="15" s="1"/>
  <c r="AC285" i="14"/>
  <c r="R286" i="17" s="1"/>
  <c r="AB285" i="14"/>
  <c r="Q286" i="17" s="1"/>
  <c r="E286" i="14"/>
  <c r="I287" i="14"/>
  <c r="A287" i="14"/>
  <c r="D287" i="14"/>
  <c r="C287" i="14"/>
  <c r="B287" i="14"/>
  <c r="J286" i="14"/>
  <c r="K286" i="14" s="1"/>
  <c r="AD286" i="14" s="1"/>
  <c r="S287" i="17" s="1"/>
  <c r="L285" i="14"/>
  <c r="AG19" i="15"/>
  <c r="AE17" i="15"/>
  <c r="AF19" i="15"/>
  <c r="M288" i="14"/>
  <c r="P287" i="14"/>
  <c r="E288" i="17" s="1"/>
  <c r="AC20" i="15"/>
  <c r="O287" i="14"/>
  <c r="D288" i="17" s="1"/>
  <c r="N287" i="14"/>
  <c r="C288" i="17" s="1"/>
  <c r="AD19" i="15"/>
  <c r="J285" i="17" l="1"/>
  <c r="Q285" i="14"/>
  <c r="F286" i="17" s="1"/>
  <c r="U285" i="14"/>
  <c r="W285" i="14"/>
  <c r="L286" i="17" s="1"/>
  <c r="S285" i="14"/>
  <c r="AA285" i="14"/>
  <c r="P286" i="17" s="1"/>
  <c r="Y285" i="14"/>
  <c r="N286" i="17" s="1"/>
  <c r="F286" i="14"/>
  <c r="H286" i="14"/>
  <c r="A286" i="17"/>
  <c r="Z285" i="14"/>
  <c r="O286" i="17" s="1"/>
  <c r="B289" i="17"/>
  <c r="G288" i="14"/>
  <c r="AH21" i="15" s="1"/>
  <c r="L286" i="14"/>
  <c r="AC286" i="14"/>
  <c r="R287" i="17" s="1"/>
  <c r="AB286" i="14"/>
  <c r="Q287" i="17" s="1"/>
  <c r="J287" i="14"/>
  <c r="K287" i="14" s="1"/>
  <c r="AD287" i="14" s="1"/>
  <c r="S288" i="17" s="1"/>
  <c r="C288" i="14"/>
  <c r="B288" i="14"/>
  <c r="I288" i="14"/>
  <c r="D288" i="14"/>
  <c r="A288" i="14"/>
  <c r="E287" i="14"/>
  <c r="AG20" i="15"/>
  <c r="AE18" i="15"/>
  <c r="AF20" i="15"/>
  <c r="AD20" i="15"/>
  <c r="N288" i="14"/>
  <c r="C289" i="17" s="1"/>
  <c r="AC21" i="15"/>
  <c r="O288" i="14"/>
  <c r="D289" i="17" s="1"/>
  <c r="P288" i="14"/>
  <c r="E289" i="17" s="1"/>
  <c r="M289" i="14"/>
  <c r="W286" i="14" l="1"/>
  <c r="L287" i="17" s="1"/>
  <c r="S286" i="14"/>
  <c r="H287" i="17" s="1"/>
  <c r="Y286" i="14"/>
  <c r="AA286" i="14"/>
  <c r="P287" i="17" s="1"/>
  <c r="F287" i="14"/>
  <c r="H287" i="14"/>
  <c r="N287" i="17"/>
  <c r="Q286" i="14"/>
  <c r="F287" i="17" s="1"/>
  <c r="A287" i="17"/>
  <c r="Z286" i="14"/>
  <c r="O287" i="17" s="1"/>
  <c r="B290" i="17"/>
  <c r="G289" i="14"/>
  <c r="AH22" i="15" s="1"/>
  <c r="L287" i="14"/>
  <c r="AC287" i="14"/>
  <c r="R288" i="17" s="1"/>
  <c r="AB287" i="14"/>
  <c r="Q288" i="17" s="1"/>
  <c r="J286" i="17"/>
  <c r="H286" i="17"/>
  <c r="E288" i="14"/>
  <c r="A289" i="14"/>
  <c r="D289" i="14"/>
  <c r="I289" i="14"/>
  <c r="C289" i="14"/>
  <c r="B289" i="14"/>
  <c r="J288" i="14"/>
  <c r="K288" i="14" s="1"/>
  <c r="AD288" i="14" s="1"/>
  <c r="S289" i="17" s="1"/>
  <c r="AF21" i="15"/>
  <c r="AE19" i="15"/>
  <c r="AG21" i="15"/>
  <c r="N289" i="14"/>
  <c r="C290" i="17" s="1"/>
  <c r="O289" i="14"/>
  <c r="D290" i="17" s="1"/>
  <c r="P289" i="14"/>
  <c r="E290" i="17" s="1"/>
  <c r="M290" i="14"/>
  <c r="AC22" i="15"/>
  <c r="AD21" i="15"/>
  <c r="U286" i="14" l="1"/>
  <c r="J287" i="17" s="1"/>
  <c r="W287" i="14"/>
  <c r="L288" i="17" s="1"/>
  <c r="S287" i="14"/>
  <c r="H288" i="17" s="1"/>
  <c r="AA287" i="14"/>
  <c r="P288" i="17" s="1"/>
  <c r="Y287" i="14"/>
  <c r="N288" i="17" s="1"/>
  <c r="F288" i="14"/>
  <c r="H288" i="14"/>
  <c r="Q287" i="14"/>
  <c r="F288" i="17" s="1"/>
  <c r="A288" i="17"/>
  <c r="Z287" i="14"/>
  <c r="O288" i="17" s="1"/>
  <c r="AC288" i="14"/>
  <c r="R289" i="17" s="1"/>
  <c r="AB288" i="14"/>
  <c r="Q289" i="17" s="1"/>
  <c r="B291" i="17"/>
  <c r="G290" i="14"/>
  <c r="AH23" i="15" s="1"/>
  <c r="J289" i="14"/>
  <c r="K289" i="14" s="1"/>
  <c r="AD289" i="14" s="1"/>
  <c r="S290" i="17" s="1"/>
  <c r="E289" i="14"/>
  <c r="B290" i="14"/>
  <c r="I290" i="14"/>
  <c r="A290" i="14"/>
  <c r="D290" i="14"/>
  <c r="C290" i="14"/>
  <c r="L288" i="14"/>
  <c r="AF22" i="15"/>
  <c r="AE20" i="15"/>
  <c r="AG22" i="15"/>
  <c r="O290" i="14"/>
  <c r="D291" i="17" s="1"/>
  <c r="P290" i="14"/>
  <c r="E291" i="17" s="1"/>
  <c r="M291" i="14"/>
  <c r="AC23" i="15"/>
  <c r="N290" i="14"/>
  <c r="C291" i="17" s="1"/>
  <c r="AD22" i="15"/>
  <c r="U287" i="14" l="1"/>
  <c r="J288" i="17" s="1"/>
  <c r="Q288" i="14"/>
  <c r="F289" i="17" s="1"/>
  <c r="W288" i="14"/>
  <c r="L289" i="17" s="1"/>
  <c r="S288" i="14"/>
  <c r="H289" i="17" s="1"/>
  <c r="AA288" i="14"/>
  <c r="P289" i="17" s="1"/>
  <c r="Y288" i="14"/>
  <c r="N289" i="17" s="1"/>
  <c r="F289" i="14"/>
  <c r="H289" i="14"/>
  <c r="A289" i="17"/>
  <c r="Z288" i="14"/>
  <c r="O289" i="17" s="1"/>
  <c r="B292" i="17"/>
  <c r="G291" i="14"/>
  <c r="AH24" i="15" s="1"/>
  <c r="AC289" i="14"/>
  <c r="R290" i="17" s="1"/>
  <c r="AB289" i="14"/>
  <c r="Q290" i="17" s="1"/>
  <c r="E290" i="14"/>
  <c r="L289" i="14"/>
  <c r="J290" i="14"/>
  <c r="K290" i="14" s="1"/>
  <c r="AD290" i="14" s="1"/>
  <c r="S291" i="17" s="1"/>
  <c r="D291" i="14"/>
  <c r="C291" i="14"/>
  <c r="B291" i="14"/>
  <c r="A291" i="14"/>
  <c r="I291" i="14"/>
  <c r="AG23" i="15"/>
  <c r="AF23" i="15"/>
  <c r="AE21" i="15"/>
  <c r="N291" i="14"/>
  <c r="C292" i="17" s="1"/>
  <c r="O291" i="14"/>
  <c r="D292" i="17" s="1"/>
  <c r="M292" i="14"/>
  <c r="P291" i="14"/>
  <c r="E292" i="17" s="1"/>
  <c r="AC24" i="15"/>
  <c r="AD23" i="15"/>
  <c r="U288" i="14" l="1"/>
  <c r="J289" i="17" s="1"/>
  <c r="Q289" i="14"/>
  <c r="F290" i="17" s="1"/>
  <c r="W289" i="14"/>
  <c r="L290" i="17" s="1"/>
  <c r="S289" i="14"/>
  <c r="U289" i="14" s="1"/>
  <c r="AA289" i="14"/>
  <c r="P290" i="17" s="1"/>
  <c r="Y289" i="14"/>
  <c r="N290" i="17" s="1"/>
  <c r="F290" i="14"/>
  <c r="H290" i="14"/>
  <c r="A290" i="17"/>
  <c r="Z289" i="14"/>
  <c r="O290" i="17" s="1"/>
  <c r="B293" i="17"/>
  <c r="G292" i="14"/>
  <c r="AH25" i="15" s="1"/>
  <c r="L290" i="14"/>
  <c r="AC290" i="14"/>
  <c r="R291" i="17" s="1"/>
  <c r="AB290" i="14"/>
  <c r="Q291" i="17" s="1"/>
  <c r="B292" i="14"/>
  <c r="I292" i="14"/>
  <c r="A292" i="14"/>
  <c r="D292" i="14"/>
  <c r="C292" i="14"/>
  <c r="J291" i="14"/>
  <c r="K291" i="14" s="1"/>
  <c r="AD291" i="14" s="1"/>
  <c r="S292" i="17" s="1"/>
  <c r="E291" i="14"/>
  <c r="AE22" i="15"/>
  <c r="AF24" i="15"/>
  <c r="AG24" i="15"/>
  <c r="AD24" i="15"/>
  <c r="M293" i="14"/>
  <c r="O292" i="14"/>
  <c r="D293" i="17" s="1"/>
  <c r="AC25" i="15"/>
  <c r="P292" i="14"/>
  <c r="E293" i="17" s="1"/>
  <c r="N292" i="14"/>
  <c r="C293" i="17" s="1"/>
  <c r="L291" i="17" l="1"/>
  <c r="H291" i="17"/>
  <c r="Y290" i="14"/>
  <c r="N291" i="17" s="1"/>
  <c r="AA290" i="14"/>
  <c r="P291" i="17" s="1"/>
  <c r="F291" i="14"/>
  <c r="H291" i="14"/>
  <c r="Q290" i="14"/>
  <c r="F291" i="17" s="1"/>
  <c r="A291" i="17"/>
  <c r="Z290" i="14"/>
  <c r="O291" i="17" s="1"/>
  <c r="E292" i="14"/>
  <c r="AB291" i="14"/>
  <c r="Q292" i="17" s="1"/>
  <c r="AC291" i="14"/>
  <c r="R292" i="17" s="1"/>
  <c r="B294" i="17"/>
  <c r="G293" i="14"/>
  <c r="AH26" i="15" s="1"/>
  <c r="J290" i="17"/>
  <c r="H290" i="17"/>
  <c r="J292" i="14"/>
  <c r="K292" i="14" s="1"/>
  <c r="AD292" i="14" s="1"/>
  <c r="S293" i="17" s="1"/>
  <c r="D293" i="14"/>
  <c r="C293" i="14"/>
  <c r="I293" i="14"/>
  <c r="B293" i="14"/>
  <c r="A293" i="14"/>
  <c r="L291" i="14"/>
  <c r="AG25" i="15"/>
  <c r="AE23" i="15"/>
  <c r="AF25" i="15"/>
  <c r="P293" i="14"/>
  <c r="E294" i="17" s="1"/>
  <c r="N293" i="14"/>
  <c r="C294" i="17" s="1"/>
  <c r="O293" i="14"/>
  <c r="D294" i="17" s="1"/>
  <c r="M294" i="14"/>
  <c r="AC26" i="15"/>
  <c r="AD25" i="15"/>
  <c r="J291" i="17" l="1"/>
  <c r="Q291" i="14"/>
  <c r="F292" i="17" s="1"/>
  <c r="L292" i="17"/>
  <c r="AA291" i="14"/>
  <c r="P292" i="17" s="1"/>
  <c r="Y291" i="14"/>
  <c r="N292" i="17" s="1"/>
  <c r="F292" i="14"/>
  <c r="H292" i="14"/>
  <c r="A292" i="17"/>
  <c r="Z291" i="14"/>
  <c r="O292" i="17" s="1"/>
  <c r="AC292" i="14"/>
  <c r="R293" i="17" s="1"/>
  <c r="AB292" i="14"/>
  <c r="Q293" i="17" s="1"/>
  <c r="B295" i="17"/>
  <c r="G294" i="14"/>
  <c r="AH27" i="15" s="1"/>
  <c r="E293" i="14"/>
  <c r="L292" i="14"/>
  <c r="J293" i="14"/>
  <c r="K293" i="14" s="1"/>
  <c r="AD293" i="14" s="1"/>
  <c r="S294" i="17" s="1"/>
  <c r="I294" i="14"/>
  <c r="A294" i="14"/>
  <c r="D294" i="14"/>
  <c r="C294" i="14"/>
  <c r="B294" i="14"/>
  <c r="AE24" i="15"/>
  <c r="AF26" i="15"/>
  <c r="AG26" i="15"/>
  <c r="AD26" i="15"/>
  <c r="N294" i="14"/>
  <c r="C295" i="17" s="1"/>
  <c r="O294" i="14"/>
  <c r="D295" i="17" s="1"/>
  <c r="AC27" i="15"/>
  <c r="P294" i="14"/>
  <c r="E295" i="17" s="1"/>
  <c r="M295" i="14"/>
  <c r="Q292" i="14" l="1"/>
  <c r="F293" i="17" s="1"/>
  <c r="W292" i="14"/>
  <c r="L293" i="17" s="1"/>
  <c r="U292" i="14"/>
  <c r="S292" i="14"/>
  <c r="AA292" i="14"/>
  <c r="P293" i="17" s="1"/>
  <c r="Y292" i="14"/>
  <c r="N293" i="17" s="1"/>
  <c r="F293" i="14"/>
  <c r="H293" i="14"/>
  <c r="A293" i="17"/>
  <c r="Z292" i="14"/>
  <c r="O293" i="17" s="1"/>
  <c r="AC293" i="14"/>
  <c r="R294" i="17" s="1"/>
  <c r="AB293" i="14"/>
  <c r="Q294" i="17" s="1"/>
  <c r="B296" i="17"/>
  <c r="G295" i="14"/>
  <c r="AH28" i="15" s="1"/>
  <c r="J292" i="17"/>
  <c r="H292" i="17"/>
  <c r="L293" i="14"/>
  <c r="E294" i="14"/>
  <c r="J294" i="14"/>
  <c r="K294" i="14" s="1"/>
  <c r="AD294" i="14" s="1"/>
  <c r="S295" i="17" s="1"/>
  <c r="C295" i="14"/>
  <c r="B295" i="14"/>
  <c r="A295" i="14"/>
  <c r="I295" i="14"/>
  <c r="D295" i="14"/>
  <c r="AG27" i="15"/>
  <c r="AF27" i="15"/>
  <c r="AE25" i="15"/>
  <c r="N295" i="14"/>
  <c r="C296" i="17" s="1"/>
  <c r="O295" i="14"/>
  <c r="D296" i="17" s="1"/>
  <c r="M296" i="14"/>
  <c r="P295" i="14"/>
  <c r="E296" i="17" s="1"/>
  <c r="AC28" i="15"/>
  <c r="AD27" i="15"/>
  <c r="Q293" i="14" l="1"/>
  <c r="F294" i="17" s="1"/>
  <c r="W293" i="14"/>
  <c r="L294" i="17" s="1"/>
  <c r="S293" i="14"/>
  <c r="U293" i="14" s="1"/>
  <c r="AA293" i="14"/>
  <c r="P294" i="17" s="1"/>
  <c r="Y293" i="14"/>
  <c r="N294" i="17" s="1"/>
  <c r="F294" i="14"/>
  <c r="H294" i="14"/>
  <c r="A294" i="17"/>
  <c r="Z293" i="14"/>
  <c r="O294" i="17" s="1"/>
  <c r="B297" i="17"/>
  <c r="G296" i="14"/>
  <c r="AH29" i="15" s="1"/>
  <c r="AC294" i="14"/>
  <c r="R295" i="17" s="1"/>
  <c r="AB294" i="14"/>
  <c r="Q295" i="17" s="1"/>
  <c r="J293" i="17"/>
  <c r="H293" i="17"/>
  <c r="E295" i="14"/>
  <c r="L294" i="14"/>
  <c r="J295" i="14"/>
  <c r="K295" i="14" s="1"/>
  <c r="AD295" i="14" s="1"/>
  <c r="S296" i="17" s="1"/>
  <c r="I296" i="14"/>
  <c r="A296" i="14"/>
  <c r="D296" i="14"/>
  <c r="C296" i="14"/>
  <c r="B296" i="14"/>
  <c r="AF28" i="15"/>
  <c r="AG28" i="15"/>
  <c r="AE26" i="15"/>
  <c r="AD28" i="15"/>
  <c r="P296" i="14"/>
  <c r="E297" i="17" s="1"/>
  <c r="N296" i="14"/>
  <c r="C297" i="17" s="1"/>
  <c r="O296" i="14"/>
  <c r="D297" i="17" s="1"/>
  <c r="M297" i="14"/>
  <c r="AC29" i="15"/>
  <c r="Q294" i="14" l="1"/>
  <c r="F295" i="17" s="1"/>
  <c r="W294" i="14"/>
  <c r="L295" i="17" s="1"/>
  <c r="S294" i="14"/>
  <c r="U294" i="14" s="1"/>
  <c r="Y294" i="14"/>
  <c r="N295" i="17" s="1"/>
  <c r="AA294" i="14"/>
  <c r="P295" i="17" s="1"/>
  <c r="F295" i="14"/>
  <c r="H295" i="14"/>
  <c r="A295" i="17"/>
  <c r="Z294" i="14"/>
  <c r="O295" i="17" s="1"/>
  <c r="B298" i="17"/>
  <c r="G297" i="14"/>
  <c r="AH30" i="15" s="1"/>
  <c r="AB295" i="14"/>
  <c r="Q296" i="17" s="1"/>
  <c r="AC295" i="14"/>
  <c r="R296" i="17" s="1"/>
  <c r="J294" i="17"/>
  <c r="H294" i="17"/>
  <c r="L295" i="14"/>
  <c r="E296" i="14"/>
  <c r="C297" i="14"/>
  <c r="I297" i="14"/>
  <c r="B297" i="14"/>
  <c r="D297" i="14"/>
  <c r="A297" i="14"/>
  <c r="J296" i="14"/>
  <c r="K296" i="14" s="1"/>
  <c r="AD296" i="14" s="1"/>
  <c r="S297" i="17" s="1"/>
  <c r="AG29" i="15"/>
  <c r="AF29" i="15"/>
  <c r="AE27" i="15"/>
  <c r="AD29" i="15"/>
  <c r="AC30" i="15"/>
  <c r="O297" i="14"/>
  <c r="D298" i="17" s="1"/>
  <c r="M298" i="14"/>
  <c r="N297" i="14"/>
  <c r="C298" i="17" s="1"/>
  <c r="P297" i="14"/>
  <c r="E298" i="17" s="1"/>
  <c r="Q295" i="14" l="1"/>
  <c r="F296" i="17" s="1"/>
  <c r="W295" i="14"/>
  <c r="L296" i="17" s="1"/>
  <c r="S295" i="14"/>
  <c r="H296" i="17" s="1"/>
  <c r="Y295" i="14"/>
  <c r="N296" i="17" s="1"/>
  <c r="AA295" i="14"/>
  <c r="P296" i="17" s="1"/>
  <c r="F296" i="14"/>
  <c r="H296" i="14"/>
  <c r="A296" i="17"/>
  <c r="Z295" i="14"/>
  <c r="O296" i="17" s="1"/>
  <c r="AC296" i="14"/>
  <c r="R297" i="17" s="1"/>
  <c r="AB296" i="14"/>
  <c r="Q297" i="17" s="1"/>
  <c r="B299" i="17"/>
  <c r="G298" i="14"/>
  <c r="AH31" i="15" s="1"/>
  <c r="J295" i="17"/>
  <c r="H295" i="17"/>
  <c r="E297" i="14"/>
  <c r="L296" i="14"/>
  <c r="J297" i="14"/>
  <c r="K297" i="14" s="1"/>
  <c r="AD297" i="14" s="1"/>
  <c r="S298" i="17" s="1"/>
  <c r="D298" i="14"/>
  <c r="C298" i="14"/>
  <c r="I298" i="14"/>
  <c r="B298" i="14"/>
  <c r="A298" i="14"/>
  <c r="AF30" i="15"/>
  <c r="AE28" i="15"/>
  <c r="AG30" i="15"/>
  <c r="AD30" i="15"/>
  <c r="N298" i="14"/>
  <c r="C299" i="17" s="1"/>
  <c r="P298" i="14"/>
  <c r="E299" i="17" s="1"/>
  <c r="O298" i="14"/>
  <c r="D299" i="17" s="1"/>
  <c r="M299" i="14"/>
  <c r="AC31" i="15"/>
  <c r="U295" i="14" l="1"/>
  <c r="J296" i="17" s="1"/>
  <c r="Q296" i="14"/>
  <c r="F297" i="17" s="1"/>
  <c r="W296" i="14"/>
  <c r="L297" i="17" s="1"/>
  <c r="S296" i="14"/>
  <c r="U296" i="14" s="1"/>
  <c r="AA296" i="14"/>
  <c r="P297" i="17" s="1"/>
  <c r="Y296" i="14"/>
  <c r="N297" i="17" s="1"/>
  <c r="F297" i="14"/>
  <c r="H297" i="14"/>
  <c r="A297" i="17"/>
  <c r="Z296" i="14"/>
  <c r="O297" i="17" s="1"/>
  <c r="B300" i="17"/>
  <c r="G299" i="14"/>
  <c r="AH32" i="15" s="1"/>
  <c r="L297" i="14"/>
  <c r="AC297" i="14"/>
  <c r="R298" i="17" s="1"/>
  <c r="AB297" i="14"/>
  <c r="Q298" i="17" s="1"/>
  <c r="J298" i="14"/>
  <c r="K298" i="14" s="1"/>
  <c r="AD298" i="14" s="1"/>
  <c r="S299" i="17" s="1"/>
  <c r="B299" i="14"/>
  <c r="I299" i="14"/>
  <c r="A299" i="14"/>
  <c r="D299" i="14"/>
  <c r="C299" i="14"/>
  <c r="E298" i="14"/>
  <c r="AF31" i="15"/>
  <c r="AG31" i="15"/>
  <c r="AE29" i="15"/>
  <c r="AD31" i="15"/>
  <c r="P299" i="14"/>
  <c r="E300" i="17" s="1"/>
  <c r="N299" i="14"/>
  <c r="C300" i="17" s="1"/>
  <c r="O299" i="14"/>
  <c r="D300" i="17" s="1"/>
  <c r="AC32" i="15"/>
  <c r="M300" i="14"/>
  <c r="L298" i="14" l="1"/>
  <c r="Q298" i="14" s="1"/>
  <c r="F299" i="17" s="1"/>
  <c r="H297" i="17"/>
  <c r="Q297" i="14"/>
  <c r="F298" i="17" s="1"/>
  <c r="L298" i="17"/>
  <c r="H298" i="17"/>
  <c r="AA297" i="14"/>
  <c r="P298" i="17" s="1"/>
  <c r="Y297" i="14"/>
  <c r="N298" i="17" s="1"/>
  <c r="F298" i="14"/>
  <c r="H298" i="14"/>
  <c r="Y298" i="14" s="1"/>
  <c r="N299" i="17" s="1"/>
  <c r="A299" i="17"/>
  <c r="A298" i="17"/>
  <c r="Z297" i="14"/>
  <c r="O298" i="17" s="1"/>
  <c r="AC298" i="14"/>
  <c r="R299" i="17" s="1"/>
  <c r="AB298" i="14"/>
  <c r="Q299" i="17" s="1"/>
  <c r="B301" i="17"/>
  <c r="G300" i="14"/>
  <c r="AH33" i="15" s="1"/>
  <c r="E299" i="14"/>
  <c r="J299" i="14"/>
  <c r="K299" i="14" s="1"/>
  <c r="AD299" i="14" s="1"/>
  <c r="S300" i="17" s="1"/>
  <c r="J297" i="17"/>
  <c r="D300" i="14"/>
  <c r="C300" i="14"/>
  <c r="B300" i="14"/>
  <c r="A300" i="14"/>
  <c r="I300" i="14"/>
  <c r="AF32" i="15"/>
  <c r="AG32" i="15"/>
  <c r="AE30" i="15"/>
  <c r="AD32" i="15"/>
  <c r="N300" i="14"/>
  <c r="C301" i="17" s="1"/>
  <c r="M301" i="14"/>
  <c r="AD301" i="14" s="1"/>
  <c r="S302" i="17" s="1"/>
  <c r="AC33" i="15"/>
  <c r="O300" i="14"/>
  <c r="D301" i="17" s="1"/>
  <c r="P300" i="14"/>
  <c r="E301" i="17" s="1"/>
  <c r="Z298" i="14" l="1"/>
  <c r="O299" i="17" s="1"/>
  <c r="J299" i="17"/>
  <c r="L299" i="17"/>
  <c r="AA298" i="14"/>
  <c r="P299" i="17" s="1"/>
  <c r="J298" i="17"/>
  <c r="F299" i="14"/>
  <c r="H299" i="14"/>
  <c r="B302" i="17"/>
  <c r="G301" i="14"/>
  <c r="AH34" i="15" s="1"/>
  <c r="AB299" i="14"/>
  <c r="Q300" i="17" s="1"/>
  <c r="AC299" i="14"/>
  <c r="R300" i="17" s="1"/>
  <c r="E300" i="14"/>
  <c r="J300" i="14"/>
  <c r="K300" i="14" s="1"/>
  <c r="AD300" i="14" s="1"/>
  <c r="S301" i="17" s="1"/>
  <c r="B301" i="14"/>
  <c r="I301" i="14"/>
  <c r="A301" i="14"/>
  <c r="D301" i="14"/>
  <c r="C301" i="14"/>
  <c r="L299" i="14"/>
  <c r="AE31" i="15"/>
  <c r="AG33" i="15"/>
  <c r="AF33" i="15"/>
  <c r="AC34" i="15"/>
  <c r="N301" i="14"/>
  <c r="C302" i="17" s="1"/>
  <c r="M304" i="14"/>
  <c r="AD304" i="14" s="1"/>
  <c r="S305" i="17" s="1"/>
  <c r="O301" i="14"/>
  <c r="D302" i="17" s="1"/>
  <c r="P301" i="14"/>
  <c r="E302" i="17" s="1"/>
  <c r="AD33" i="15"/>
  <c r="H299" i="17" l="1"/>
  <c r="Q299" i="14"/>
  <c r="F300" i="17" s="1"/>
  <c r="W299" i="14"/>
  <c r="L300" i="17" s="1"/>
  <c r="U299" i="14"/>
  <c r="S299" i="14"/>
  <c r="AA299" i="14"/>
  <c r="P300" i="17" s="1"/>
  <c r="Y299" i="14"/>
  <c r="N300" i="17" s="1"/>
  <c r="F300" i="14"/>
  <c r="H300" i="14"/>
  <c r="A300" i="17"/>
  <c r="Z299" i="14"/>
  <c r="O300" i="17" s="1"/>
  <c r="AC300" i="14"/>
  <c r="R301" i="17" s="1"/>
  <c r="B305" i="17"/>
  <c r="G304" i="14"/>
  <c r="AH36" i="15" s="1"/>
  <c r="L300" i="14"/>
  <c r="AB300" i="14"/>
  <c r="Q301" i="17" s="1"/>
  <c r="E301" i="14"/>
  <c r="L301" i="14"/>
  <c r="D304" i="14"/>
  <c r="C304" i="14"/>
  <c r="I304" i="14"/>
  <c r="B304" i="14"/>
  <c r="A304" i="14"/>
  <c r="J301" i="14"/>
  <c r="AE32" i="15"/>
  <c r="AF34" i="15"/>
  <c r="AG34" i="15"/>
  <c r="AD34" i="15"/>
  <c r="O304" i="14"/>
  <c r="D305" i="17" s="1"/>
  <c r="N304" i="14"/>
  <c r="C305" i="17" s="1"/>
  <c r="P304" i="14"/>
  <c r="E305" i="17" s="1"/>
  <c r="AC36" i="15"/>
  <c r="M305" i="14"/>
  <c r="Q301" i="14" l="1"/>
  <c r="F302" i="17" s="1"/>
  <c r="W301" i="14"/>
  <c r="U301" i="14"/>
  <c r="J302" i="17" s="1"/>
  <c r="S301" i="14"/>
  <c r="AA301" i="14"/>
  <c r="P302" i="17" s="1"/>
  <c r="Y301" i="14"/>
  <c r="Q300" i="14"/>
  <c r="F301" i="17" s="1"/>
  <c r="W300" i="14"/>
  <c r="L301" i="17" s="1"/>
  <c r="S300" i="14"/>
  <c r="H301" i="17" s="1"/>
  <c r="AA300" i="14"/>
  <c r="P301" i="17" s="1"/>
  <c r="Y300" i="14"/>
  <c r="N301" i="17" s="1"/>
  <c r="F301" i="14"/>
  <c r="H301" i="14"/>
  <c r="A301" i="17"/>
  <c r="Z300" i="14"/>
  <c r="O301" i="17" s="1"/>
  <c r="A302" i="17"/>
  <c r="Z301" i="14"/>
  <c r="O302" i="17" s="1"/>
  <c r="B306" i="17"/>
  <c r="G305" i="14"/>
  <c r="AH37" i="15" s="1"/>
  <c r="E304" i="14"/>
  <c r="J300" i="17"/>
  <c r="H300" i="17"/>
  <c r="J304" i="14"/>
  <c r="I305" i="14"/>
  <c r="B305" i="14"/>
  <c r="A305" i="14"/>
  <c r="D305" i="14"/>
  <c r="C305" i="14"/>
  <c r="L304" i="14"/>
  <c r="L302" i="17"/>
  <c r="N302" i="17"/>
  <c r="H302" i="17"/>
  <c r="AE34" i="15"/>
  <c r="AE33" i="15"/>
  <c r="AG36" i="15"/>
  <c r="AF36" i="15"/>
  <c r="N305" i="14"/>
  <c r="C306" i="17" s="1"/>
  <c r="M306" i="14"/>
  <c r="AC37" i="15"/>
  <c r="P305" i="14"/>
  <c r="E306" i="17" s="1"/>
  <c r="O305" i="14"/>
  <c r="D306" i="17" s="1"/>
  <c r="AD36" i="15"/>
  <c r="Z289" i="17" l="1"/>
  <c r="U300" i="14"/>
  <c r="J301" i="17" s="1"/>
  <c r="F303" i="17"/>
  <c r="AA413" i="17" s="1"/>
  <c r="Q304" i="14"/>
  <c r="W304" i="14"/>
  <c r="U304" i="14"/>
  <c r="S304" i="14"/>
  <c r="AA304" i="14"/>
  <c r="Y304" i="14"/>
  <c r="F304" i="14"/>
  <c r="H304" i="14"/>
  <c r="A305" i="17"/>
  <c r="Z304" i="14"/>
  <c r="O305" i="17" s="1"/>
  <c r="B307" i="17"/>
  <c r="G306" i="14"/>
  <c r="AH38" i="15" s="1"/>
  <c r="E305" i="14"/>
  <c r="C306" i="14"/>
  <c r="I306" i="14"/>
  <c r="B306" i="14"/>
  <c r="A306" i="14"/>
  <c r="D306" i="14"/>
  <c r="J305" i="14"/>
  <c r="L305" i="17"/>
  <c r="P305" i="17"/>
  <c r="F305" i="17"/>
  <c r="H305" i="17"/>
  <c r="N305" i="17"/>
  <c r="J305" i="17"/>
  <c r="AE36" i="15"/>
  <c r="K305" i="14"/>
  <c r="AD305" i="14" s="1"/>
  <c r="S306" i="17" s="1"/>
  <c r="AF37" i="15"/>
  <c r="AG37" i="15"/>
  <c r="AD37" i="15"/>
  <c r="M307" i="14"/>
  <c r="P306" i="14"/>
  <c r="E307" i="17" s="1"/>
  <c r="O306" i="14"/>
  <c r="D307" i="17" s="1"/>
  <c r="N306" i="14"/>
  <c r="C307" i="17" s="1"/>
  <c r="AC38" i="15"/>
  <c r="AA289" i="17" l="1"/>
  <c r="AC289" i="17"/>
  <c r="AC290" i="17" s="1"/>
  <c r="F305" i="14"/>
  <c r="H305" i="14"/>
  <c r="B308" i="17"/>
  <c r="G307" i="14"/>
  <c r="AH39" i="15" s="1"/>
  <c r="L305" i="14"/>
  <c r="AC305" i="14"/>
  <c r="R306" i="17" s="1"/>
  <c r="AB305" i="14"/>
  <c r="Q306" i="17" s="1"/>
  <c r="E306" i="14"/>
  <c r="D307" i="14"/>
  <c r="C307" i="14"/>
  <c r="B307" i="14"/>
  <c r="A307" i="14"/>
  <c r="I307" i="14"/>
  <c r="J306" i="14"/>
  <c r="K306" i="14" s="1"/>
  <c r="AD306" i="14" s="1"/>
  <c r="S307" i="17" s="1"/>
  <c r="AF38" i="15"/>
  <c r="AG38" i="15"/>
  <c r="AD38" i="15"/>
  <c r="AC39" i="15"/>
  <c r="P307" i="14"/>
  <c r="E308" i="17" s="1"/>
  <c r="M308" i="14"/>
  <c r="O307" i="14"/>
  <c r="D308" i="17" s="1"/>
  <c r="N307" i="14"/>
  <c r="C308" i="17" s="1"/>
  <c r="AC413" i="17" l="1"/>
  <c r="Q305" i="14"/>
  <c r="F306" i="17" s="1"/>
  <c r="W305" i="14"/>
  <c r="L306" i="17" s="1"/>
  <c r="S305" i="14"/>
  <c r="U305" i="14" s="1"/>
  <c r="J306" i="17" s="1"/>
  <c r="AA305" i="14"/>
  <c r="P306" i="17" s="1"/>
  <c r="Y305" i="14"/>
  <c r="N306" i="17" s="1"/>
  <c r="F306" i="14"/>
  <c r="H306" i="14"/>
  <c r="A306" i="17"/>
  <c r="Z305" i="14"/>
  <c r="O306" i="17" s="1"/>
  <c r="AC306" i="14"/>
  <c r="R307" i="17" s="1"/>
  <c r="AB306" i="14"/>
  <c r="Q307" i="17" s="1"/>
  <c r="B309" i="17"/>
  <c r="G308" i="14"/>
  <c r="AH40" i="15" s="1"/>
  <c r="AB413" i="17"/>
  <c r="L306" i="14"/>
  <c r="J307" i="14"/>
  <c r="K307" i="14" s="1"/>
  <c r="AD307" i="14" s="1"/>
  <c r="S308" i="17" s="1"/>
  <c r="E307" i="14"/>
  <c r="B308" i="14"/>
  <c r="I308" i="14"/>
  <c r="A308" i="14"/>
  <c r="D308" i="14"/>
  <c r="C308" i="14"/>
  <c r="AF39" i="15"/>
  <c r="AG39" i="15"/>
  <c r="AE37" i="15"/>
  <c r="AD39" i="15"/>
  <c r="M309" i="14"/>
  <c r="P308" i="14"/>
  <c r="E309" i="17" s="1"/>
  <c r="O308" i="14"/>
  <c r="D309" i="17" s="1"/>
  <c r="N308" i="14"/>
  <c r="C309" i="17" s="1"/>
  <c r="AC40" i="15"/>
  <c r="Q306" i="14" l="1"/>
  <c r="F307" i="17" s="1"/>
  <c r="L307" i="17"/>
  <c r="Y306" i="14"/>
  <c r="N307" i="17" s="1"/>
  <c r="AA306" i="14"/>
  <c r="P307" i="17" s="1"/>
  <c r="F307" i="14"/>
  <c r="H307" i="14"/>
  <c r="A307" i="17"/>
  <c r="Z306" i="14"/>
  <c r="O307" i="17" s="1"/>
  <c r="H306" i="17"/>
  <c r="B310" i="17"/>
  <c r="G309" i="14"/>
  <c r="AH41" i="15" s="1"/>
  <c r="L307" i="14"/>
  <c r="AC307" i="14"/>
  <c r="R308" i="17" s="1"/>
  <c r="AB307" i="14"/>
  <c r="Q308" i="17" s="1"/>
  <c r="E308" i="14"/>
  <c r="D309" i="14"/>
  <c r="C309" i="14"/>
  <c r="I309" i="14"/>
  <c r="B309" i="14"/>
  <c r="A309" i="14"/>
  <c r="J308" i="14"/>
  <c r="K308" i="14" s="1"/>
  <c r="AD308" i="14" s="1"/>
  <c r="S309" i="17" s="1"/>
  <c r="AF40" i="15"/>
  <c r="AG40" i="15"/>
  <c r="AE38" i="15"/>
  <c r="AD40" i="15"/>
  <c r="AC41" i="15"/>
  <c r="N309" i="14"/>
  <c r="C310" i="17" s="1"/>
  <c r="P309" i="14"/>
  <c r="E310" i="17" s="1"/>
  <c r="O309" i="14"/>
  <c r="D310" i="17" s="1"/>
  <c r="M310" i="14"/>
  <c r="L308" i="17" l="1"/>
  <c r="J308" i="17"/>
  <c r="AA307" i="14"/>
  <c r="P308" i="17" s="1"/>
  <c r="Y307" i="14"/>
  <c r="N308" i="17" s="1"/>
  <c r="F308" i="14"/>
  <c r="H308" i="14"/>
  <c r="Q307" i="14"/>
  <c r="F308" i="17" s="1"/>
  <c r="A308" i="17"/>
  <c r="Z307" i="14"/>
  <c r="O308" i="17" s="1"/>
  <c r="B311" i="17"/>
  <c r="G310" i="14"/>
  <c r="AH42" i="15" s="1"/>
  <c r="AC308" i="14"/>
  <c r="R309" i="17" s="1"/>
  <c r="AB308" i="14"/>
  <c r="Q309" i="17" s="1"/>
  <c r="J307" i="17"/>
  <c r="H307" i="17"/>
  <c r="B310" i="14"/>
  <c r="I310" i="14"/>
  <c r="A310" i="14"/>
  <c r="D310" i="14"/>
  <c r="C310" i="14"/>
  <c r="E309" i="14"/>
  <c r="J309" i="14"/>
  <c r="K309" i="14" s="1"/>
  <c r="AD309" i="14" s="1"/>
  <c r="S310" i="17" s="1"/>
  <c r="L308" i="14"/>
  <c r="AE39" i="15"/>
  <c r="AG41" i="15"/>
  <c r="AF41" i="15"/>
  <c r="P310" i="14"/>
  <c r="E311" i="17" s="1"/>
  <c r="O310" i="14"/>
  <c r="D311" i="17" s="1"/>
  <c r="AC42" i="15"/>
  <c r="N310" i="14"/>
  <c r="C311" i="17" s="1"/>
  <c r="M311" i="14"/>
  <c r="AD41" i="15"/>
  <c r="Q308" i="14" l="1"/>
  <c r="F309" i="17" s="1"/>
  <c r="W308" i="14"/>
  <c r="L309" i="17" s="1"/>
  <c r="S308" i="14"/>
  <c r="U308" i="14" s="1"/>
  <c r="AA308" i="14"/>
  <c r="P309" i="17" s="1"/>
  <c r="Y308" i="14"/>
  <c r="N309" i="17" s="1"/>
  <c r="F309" i="14"/>
  <c r="H309" i="14"/>
  <c r="H308" i="17"/>
  <c r="A309" i="17"/>
  <c r="Z308" i="14"/>
  <c r="O309" i="17" s="1"/>
  <c r="AC309" i="14"/>
  <c r="R310" i="17" s="1"/>
  <c r="AB309" i="14"/>
  <c r="Q310" i="17" s="1"/>
  <c r="B312" i="17"/>
  <c r="G311" i="14"/>
  <c r="AH43" i="15" s="1"/>
  <c r="E310" i="14"/>
  <c r="L309" i="14"/>
  <c r="D311" i="14"/>
  <c r="C311" i="14"/>
  <c r="B311" i="14"/>
  <c r="A311" i="14"/>
  <c r="I311" i="14"/>
  <c r="J310" i="14"/>
  <c r="K310" i="14" s="1"/>
  <c r="AD310" i="14" s="1"/>
  <c r="S311" i="17" s="1"/>
  <c r="AF42" i="15"/>
  <c r="AG42" i="15"/>
  <c r="AE40" i="15"/>
  <c r="AC43" i="15"/>
  <c r="N311" i="14"/>
  <c r="C312" i="17" s="1"/>
  <c r="P311" i="14"/>
  <c r="E312" i="17" s="1"/>
  <c r="O311" i="14"/>
  <c r="D312" i="17" s="1"/>
  <c r="M312" i="14"/>
  <c r="AD42" i="15"/>
  <c r="Q309" i="14" l="1"/>
  <c r="F310" i="17" s="1"/>
  <c r="W309" i="14"/>
  <c r="L310" i="17" s="1"/>
  <c r="S309" i="14"/>
  <c r="U309" i="14" s="1"/>
  <c r="Y309" i="14"/>
  <c r="N310" i="17" s="1"/>
  <c r="AA309" i="14"/>
  <c r="P310" i="17" s="1"/>
  <c r="F310" i="14"/>
  <c r="H310" i="14"/>
  <c r="A310" i="17"/>
  <c r="Z309" i="14"/>
  <c r="O310" i="17" s="1"/>
  <c r="B313" i="17"/>
  <c r="G312" i="14"/>
  <c r="AH44" i="15" s="1"/>
  <c r="AC310" i="14"/>
  <c r="R311" i="17" s="1"/>
  <c r="AB310" i="14"/>
  <c r="Q311" i="17" s="1"/>
  <c r="J309" i="17"/>
  <c r="H309" i="17"/>
  <c r="L310" i="14"/>
  <c r="I312" i="14"/>
  <c r="A312" i="14"/>
  <c r="D312" i="14"/>
  <c r="C312" i="14"/>
  <c r="B312" i="14"/>
  <c r="E311" i="14"/>
  <c r="J311" i="14"/>
  <c r="K311" i="14" s="1"/>
  <c r="AD311" i="14" s="1"/>
  <c r="S312" i="17" s="1"/>
  <c r="AE41" i="15"/>
  <c r="AF43" i="15"/>
  <c r="AG43" i="15"/>
  <c r="P312" i="14"/>
  <c r="E313" i="17" s="1"/>
  <c r="O312" i="14"/>
  <c r="D313" i="17" s="1"/>
  <c r="M313" i="14"/>
  <c r="AC44" i="15"/>
  <c r="N312" i="14"/>
  <c r="C313" i="17" s="1"/>
  <c r="AD43" i="15"/>
  <c r="H310" i="17" l="1"/>
  <c r="Q310" i="14"/>
  <c r="W310" i="14"/>
  <c r="L311" i="17" s="1"/>
  <c r="S310" i="14"/>
  <c r="U310" i="14" s="1"/>
  <c r="F311" i="14"/>
  <c r="H311" i="14"/>
  <c r="Y310" i="14"/>
  <c r="N311" i="17" s="1"/>
  <c r="AA310" i="14"/>
  <c r="P311" i="17" s="1"/>
  <c r="A311" i="17"/>
  <c r="Z310" i="14"/>
  <c r="O311" i="17" s="1"/>
  <c r="AC311" i="14"/>
  <c r="R312" i="17" s="1"/>
  <c r="AB311" i="14"/>
  <c r="Q312" i="17" s="1"/>
  <c r="B314" i="17"/>
  <c r="G313" i="14"/>
  <c r="AH45" i="15" s="1"/>
  <c r="E312" i="14"/>
  <c r="L311" i="14"/>
  <c r="J310" i="17"/>
  <c r="F311" i="17"/>
  <c r="J312" i="14"/>
  <c r="K312" i="14" s="1"/>
  <c r="AD312" i="14" s="1"/>
  <c r="S313" i="17" s="1"/>
  <c r="C313" i="14"/>
  <c r="B313" i="14"/>
  <c r="I313" i="14"/>
  <c r="D313" i="14"/>
  <c r="A313" i="14"/>
  <c r="AF44" i="15"/>
  <c r="AG44" i="15"/>
  <c r="AE42" i="15"/>
  <c r="M314" i="14"/>
  <c r="AC45" i="15"/>
  <c r="P313" i="14"/>
  <c r="E314" i="17" s="1"/>
  <c r="N313" i="14"/>
  <c r="C314" i="17" s="1"/>
  <c r="O313" i="14"/>
  <c r="D314" i="17" s="1"/>
  <c r="AD44" i="15"/>
  <c r="Q311" i="14" l="1"/>
  <c r="F312" i="17" s="1"/>
  <c r="W311" i="14"/>
  <c r="L312" i="17" s="1"/>
  <c r="S311" i="14"/>
  <c r="U311" i="14" s="1"/>
  <c r="F312" i="14"/>
  <c r="H312" i="14"/>
  <c r="AA311" i="14"/>
  <c r="P312" i="17" s="1"/>
  <c r="Y311" i="14"/>
  <c r="N312" i="17" s="1"/>
  <c r="A312" i="17"/>
  <c r="Z311" i="14"/>
  <c r="O312" i="17" s="1"/>
  <c r="B315" i="17"/>
  <c r="G314" i="14"/>
  <c r="AH46" i="15" s="1"/>
  <c r="L312" i="14"/>
  <c r="AC312" i="14"/>
  <c r="R313" i="17" s="1"/>
  <c r="AB312" i="14"/>
  <c r="Q313" i="17" s="1"/>
  <c r="E313" i="14"/>
  <c r="J311" i="17"/>
  <c r="H311" i="17"/>
  <c r="J313" i="14"/>
  <c r="K313" i="14" s="1"/>
  <c r="AD313" i="14" s="1"/>
  <c r="S314" i="17" s="1"/>
  <c r="I314" i="14"/>
  <c r="A314" i="14"/>
  <c r="D314" i="14"/>
  <c r="C314" i="14"/>
  <c r="B314" i="14"/>
  <c r="AG45" i="15"/>
  <c r="AE43" i="15"/>
  <c r="AF45" i="15"/>
  <c r="N314" i="14"/>
  <c r="C315" i="17" s="1"/>
  <c r="O314" i="14"/>
  <c r="D315" i="17" s="1"/>
  <c r="AC46" i="15"/>
  <c r="P314" i="14"/>
  <c r="E315" i="17" s="1"/>
  <c r="M315" i="14"/>
  <c r="AD45" i="15"/>
  <c r="W312" i="14" l="1"/>
  <c r="L313" i="17" s="1"/>
  <c r="S312" i="14"/>
  <c r="H313" i="17" s="1"/>
  <c r="AA312" i="14"/>
  <c r="P313" i="17" s="1"/>
  <c r="Y312" i="14"/>
  <c r="N313" i="17" s="1"/>
  <c r="F313" i="14"/>
  <c r="H313" i="14"/>
  <c r="Q312" i="14"/>
  <c r="F313" i="17" s="1"/>
  <c r="A313" i="17"/>
  <c r="Z312" i="14"/>
  <c r="O313" i="17" s="1"/>
  <c r="B316" i="17"/>
  <c r="G315" i="14"/>
  <c r="AH47" i="15" s="1"/>
  <c r="AC313" i="14"/>
  <c r="R314" i="17" s="1"/>
  <c r="AB313" i="14"/>
  <c r="Q314" i="17" s="1"/>
  <c r="J312" i="17"/>
  <c r="H312" i="17"/>
  <c r="J314" i="14"/>
  <c r="K314" i="14" s="1"/>
  <c r="AD314" i="14" s="1"/>
  <c r="S315" i="17" s="1"/>
  <c r="C315" i="14"/>
  <c r="I315" i="14"/>
  <c r="B315" i="14"/>
  <c r="A315" i="14"/>
  <c r="D315" i="14"/>
  <c r="E314" i="14"/>
  <c r="L313" i="14"/>
  <c r="AG46" i="15"/>
  <c r="AE44" i="15"/>
  <c r="AF46" i="15"/>
  <c r="M316" i="14"/>
  <c r="N315" i="14"/>
  <c r="C316" i="17" s="1"/>
  <c r="O315" i="14"/>
  <c r="D316" i="17" s="1"/>
  <c r="P315" i="14"/>
  <c r="E316" i="17" s="1"/>
  <c r="AC47" i="15"/>
  <c r="AD46" i="15"/>
  <c r="U312" i="14" l="1"/>
  <c r="J313" i="17" s="1"/>
  <c r="Q313" i="14"/>
  <c r="F314" i="17" s="1"/>
  <c r="L314" i="17"/>
  <c r="AA313" i="14"/>
  <c r="P314" i="17" s="1"/>
  <c r="Y313" i="14"/>
  <c r="N314" i="17" s="1"/>
  <c r="F314" i="14"/>
  <c r="H314" i="14"/>
  <c r="A314" i="17"/>
  <c r="Z313" i="14"/>
  <c r="O314" i="17" s="1"/>
  <c r="AC314" i="14"/>
  <c r="R315" i="17" s="1"/>
  <c r="AB314" i="14"/>
  <c r="Q315" i="17" s="1"/>
  <c r="B317" i="17"/>
  <c r="G316" i="14"/>
  <c r="AH48" i="15" s="1"/>
  <c r="J315" i="14"/>
  <c r="E315" i="14"/>
  <c r="D316" i="14"/>
  <c r="C316" i="14"/>
  <c r="B316" i="14"/>
  <c r="A316" i="14"/>
  <c r="I316" i="14"/>
  <c r="K315" i="14"/>
  <c r="AD315" i="14" s="1"/>
  <c r="S316" i="17" s="1"/>
  <c r="L314" i="14"/>
  <c r="AG47" i="15"/>
  <c r="AF47" i="15"/>
  <c r="AE45" i="15"/>
  <c r="AD47" i="15"/>
  <c r="AC48" i="15"/>
  <c r="P316" i="14"/>
  <c r="E317" i="17" s="1"/>
  <c r="O316" i="14"/>
  <c r="D317" i="17" s="1"/>
  <c r="M317" i="14"/>
  <c r="N316" i="14"/>
  <c r="C317" i="17" s="1"/>
  <c r="Q314" i="14" l="1"/>
  <c r="F315" i="17" s="1"/>
  <c r="L315" i="17"/>
  <c r="F315" i="14"/>
  <c r="H315" i="14"/>
  <c r="Y314" i="14"/>
  <c r="N315" i="17" s="1"/>
  <c r="AA314" i="14"/>
  <c r="P315" i="17" s="1"/>
  <c r="A315" i="17"/>
  <c r="Z314" i="14"/>
  <c r="O315" i="17" s="1"/>
  <c r="B318" i="17"/>
  <c r="G317" i="14"/>
  <c r="AH49" i="15" s="1"/>
  <c r="AC315" i="14"/>
  <c r="R316" i="17" s="1"/>
  <c r="AB315" i="14"/>
  <c r="Q316" i="17" s="1"/>
  <c r="J314" i="17"/>
  <c r="H314" i="17"/>
  <c r="J316" i="14"/>
  <c r="K316" i="14" s="1"/>
  <c r="AD316" i="14" s="1"/>
  <c r="S317" i="17" s="1"/>
  <c r="B317" i="14"/>
  <c r="I317" i="14"/>
  <c r="A317" i="14"/>
  <c r="D317" i="14"/>
  <c r="C317" i="14"/>
  <c r="L315" i="14"/>
  <c r="E316" i="14"/>
  <c r="AF48" i="15"/>
  <c r="AE46" i="15"/>
  <c r="AG48" i="15"/>
  <c r="N317" i="14"/>
  <c r="C318" i="17" s="1"/>
  <c r="P317" i="14"/>
  <c r="E318" i="17" s="1"/>
  <c r="O317" i="14"/>
  <c r="D318" i="17" s="1"/>
  <c r="AC49" i="15"/>
  <c r="M318" i="14"/>
  <c r="AD48" i="15"/>
  <c r="Q315" i="14" l="1"/>
  <c r="F316" i="17" s="1"/>
  <c r="L316" i="17"/>
  <c r="F316" i="14"/>
  <c r="H316" i="14"/>
  <c r="AA315" i="14"/>
  <c r="P316" i="17" s="1"/>
  <c r="Y315" i="14"/>
  <c r="N316" i="17" s="1"/>
  <c r="A316" i="17"/>
  <c r="Z315" i="14"/>
  <c r="O316" i="17" s="1"/>
  <c r="E317" i="14"/>
  <c r="B319" i="17"/>
  <c r="G318" i="14"/>
  <c r="AH50" i="15" s="1"/>
  <c r="AC316" i="14"/>
  <c r="R317" i="17" s="1"/>
  <c r="AB316" i="14"/>
  <c r="Q317" i="17" s="1"/>
  <c r="J315" i="17"/>
  <c r="H315" i="17"/>
  <c r="L316" i="14"/>
  <c r="D318" i="14"/>
  <c r="C318" i="14"/>
  <c r="I318" i="14"/>
  <c r="B318" i="14"/>
  <c r="A318" i="14"/>
  <c r="J317" i="14"/>
  <c r="K317" i="14" s="1"/>
  <c r="AD317" i="14" s="1"/>
  <c r="S318" i="17" s="1"/>
  <c r="AG49" i="15"/>
  <c r="AF49" i="15"/>
  <c r="AE47" i="15"/>
  <c r="M319" i="14"/>
  <c r="O318" i="14"/>
  <c r="D319" i="17" s="1"/>
  <c r="AC50" i="15"/>
  <c r="P318" i="14"/>
  <c r="E319" i="17" s="1"/>
  <c r="N318" i="14"/>
  <c r="C319" i="17" s="1"/>
  <c r="AD49" i="15"/>
  <c r="Q316" i="14" l="1"/>
  <c r="F317" i="17" s="1"/>
  <c r="W316" i="14"/>
  <c r="L317" i="17" s="1"/>
  <c r="S316" i="14"/>
  <c r="U316" i="14" s="1"/>
  <c r="F317" i="14"/>
  <c r="H317" i="14"/>
  <c r="AA316" i="14"/>
  <c r="P317" i="17" s="1"/>
  <c r="Y316" i="14"/>
  <c r="N317" i="17" s="1"/>
  <c r="A317" i="17"/>
  <c r="Z316" i="14"/>
  <c r="O317" i="17" s="1"/>
  <c r="B320" i="17"/>
  <c r="G319" i="14"/>
  <c r="AH51" i="15" s="1"/>
  <c r="AC317" i="14"/>
  <c r="R318" i="17" s="1"/>
  <c r="AB317" i="14"/>
  <c r="Q318" i="17" s="1"/>
  <c r="J316" i="17"/>
  <c r="H316" i="17"/>
  <c r="E318" i="14"/>
  <c r="L317" i="14"/>
  <c r="J318" i="14"/>
  <c r="K318" i="14" s="1"/>
  <c r="AD318" i="14" s="1"/>
  <c r="S319" i="17" s="1"/>
  <c r="I319" i="14"/>
  <c r="B319" i="14"/>
  <c r="A319" i="14"/>
  <c r="D319" i="14"/>
  <c r="C319" i="14"/>
  <c r="AG50" i="15"/>
  <c r="AE48" i="15"/>
  <c r="AF50" i="15"/>
  <c r="AC51" i="15"/>
  <c r="P319" i="14"/>
  <c r="E320" i="17" s="1"/>
  <c r="N319" i="14"/>
  <c r="C320" i="17" s="1"/>
  <c r="O319" i="14"/>
  <c r="D320" i="17" s="1"/>
  <c r="M320" i="14"/>
  <c r="AD50" i="15"/>
  <c r="Q317" i="14" l="1"/>
  <c r="F318" i="17" s="1"/>
  <c r="W317" i="14"/>
  <c r="L318" i="17" s="1"/>
  <c r="S317" i="14"/>
  <c r="U317" i="14" s="1"/>
  <c r="AA317" i="14"/>
  <c r="P318" i="17" s="1"/>
  <c r="Y317" i="14"/>
  <c r="N318" i="17" s="1"/>
  <c r="F318" i="14"/>
  <c r="H318" i="14"/>
  <c r="A318" i="17"/>
  <c r="Z317" i="14"/>
  <c r="O318" i="17" s="1"/>
  <c r="AC318" i="14"/>
  <c r="R319" i="17" s="1"/>
  <c r="AB318" i="14"/>
  <c r="Q319" i="17" s="1"/>
  <c r="B321" i="17"/>
  <c r="G320" i="14"/>
  <c r="AH52" i="15" s="1"/>
  <c r="J317" i="17"/>
  <c r="H317" i="17"/>
  <c r="L318" i="14"/>
  <c r="E319" i="14"/>
  <c r="C320" i="14"/>
  <c r="B320" i="14"/>
  <c r="A320" i="14"/>
  <c r="I320" i="14"/>
  <c r="D320" i="14"/>
  <c r="J319" i="14"/>
  <c r="K319" i="14" s="1"/>
  <c r="AD319" i="14" s="1"/>
  <c r="S320" i="17" s="1"/>
  <c r="AG51" i="15"/>
  <c r="AE49" i="15"/>
  <c r="AF51" i="15"/>
  <c r="AD51" i="15"/>
  <c r="P320" i="14"/>
  <c r="E321" i="17" s="1"/>
  <c r="M321" i="14"/>
  <c r="O320" i="14"/>
  <c r="D321" i="17" s="1"/>
  <c r="N320" i="14"/>
  <c r="C321" i="17" s="1"/>
  <c r="AC52" i="15"/>
  <c r="Q318" i="14" l="1"/>
  <c r="F319" i="17" s="1"/>
  <c r="W318" i="14"/>
  <c r="L319" i="17" s="1"/>
  <c r="S318" i="14"/>
  <c r="U318" i="14" s="1"/>
  <c r="F319" i="14"/>
  <c r="H319" i="14"/>
  <c r="Y318" i="14"/>
  <c r="N319" i="17" s="1"/>
  <c r="AA318" i="14"/>
  <c r="P319" i="17" s="1"/>
  <c r="A319" i="17"/>
  <c r="Z318" i="14"/>
  <c r="O319" i="17" s="1"/>
  <c r="B322" i="17"/>
  <c r="G321" i="14"/>
  <c r="AH53" i="15" s="1"/>
  <c r="L319" i="14"/>
  <c r="AC319" i="14"/>
  <c r="R320" i="17" s="1"/>
  <c r="AB319" i="14"/>
  <c r="Q320" i="17" s="1"/>
  <c r="J318" i="17"/>
  <c r="H318" i="17"/>
  <c r="E320" i="14"/>
  <c r="I321" i="14"/>
  <c r="A321" i="14"/>
  <c r="D321" i="14"/>
  <c r="C321" i="14"/>
  <c r="B321" i="14"/>
  <c r="J320" i="14"/>
  <c r="K320" i="14" s="1"/>
  <c r="AD320" i="14" s="1"/>
  <c r="S321" i="17" s="1"/>
  <c r="AF52" i="15"/>
  <c r="AE50" i="15"/>
  <c r="AG52" i="15"/>
  <c r="AD52" i="15"/>
  <c r="O321" i="14"/>
  <c r="D322" i="17" s="1"/>
  <c r="M322" i="14"/>
  <c r="AC53" i="15"/>
  <c r="P321" i="14"/>
  <c r="E322" i="17" s="1"/>
  <c r="N321" i="14"/>
  <c r="C322" i="17" s="1"/>
  <c r="H319" i="17" l="1"/>
  <c r="W319" i="14"/>
  <c r="L320" i="17" s="1"/>
  <c r="S319" i="14"/>
  <c r="U319" i="14" s="1"/>
  <c r="J320" i="17" s="1"/>
  <c r="F320" i="14"/>
  <c r="H320" i="14"/>
  <c r="AA319" i="14"/>
  <c r="P320" i="17" s="1"/>
  <c r="Y319" i="14"/>
  <c r="N320" i="17" s="1"/>
  <c r="Q319" i="14"/>
  <c r="F320" i="17" s="1"/>
  <c r="A320" i="17"/>
  <c r="Z319" i="14"/>
  <c r="O320" i="17" s="1"/>
  <c r="B323" i="17"/>
  <c r="G322" i="14"/>
  <c r="AH54" i="15" s="1"/>
  <c r="AC320" i="14"/>
  <c r="R321" i="17" s="1"/>
  <c r="AB320" i="14"/>
  <c r="Q321" i="17" s="1"/>
  <c r="J319" i="17"/>
  <c r="E321" i="14"/>
  <c r="L320" i="14"/>
  <c r="C322" i="14"/>
  <c r="B322" i="14"/>
  <c r="I322" i="14"/>
  <c r="D322" i="14"/>
  <c r="A322" i="14"/>
  <c r="J321" i="14"/>
  <c r="K321" i="14" s="1"/>
  <c r="AD321" i="14" s="1"/>
  <c r="S322" i="17" s="1"/>
  <c r="AG53" i="15"/>
  <c r="AE51" i="15"/>
  <c r="AF53" i="15"/>
  <c r="AD53" i="15"/>
  <c r="M323" i="14"/>
  <c r="N322" i="14"/>
  <c r="C323" i="17" s="1"/>
  <c r="AC54" i="15"/>
  <c r="P322" i="14"/>
  <c r="E323" i="17" s="1"/>
  <c r="O322" i="14"/>
  <c r="D323" i="17" s="1"/>
  <c r="H320" i="17" l="1"/>
  <c r="Q320" i="14"/>
  <c r="F321" i="17" s="1"/>
  <c r="L321" i="17"/>
  <c r="F321" i="14"/>
  <c r="H321" i="14"/>
  <c r="AA320" i="14"/>
  <c r="P321" i="17" s="1"/>
  <c r="Y320" i="14"/>
  <c r="N321" i="17" s="1"/>
  <c r="A321" i="17"/>
  <c r="Z320" i="14"/>
  <c r="O321" i="17" s="1"/>
  <c r="AC321" i="14"/>
  <c r="R322" i="17" s="1"/>
  <c r="AB321" i="14"/>
  <c r="Q322" i="17" s="1"/>
  <c r="B324" i="17"/>
  <c r="G323" i="14"/>
  <c r="AH55" i="15" s="1"/>
  <c r="L321" i="14"/>
  <c r="A323" i="14"/>
  <c r="D323" i="14"/>
  <c r="I323" i="14"/>
  <c r="C323" i="14"/>
  <c r="B323" i="14"/>
  <c r="J322" i="14"/>
  <c r="K322" i="14" s="1"/>
  <c r="AD322" i="14" s="1"/>
  <c r="S323" i="17" s="1"/>
  <c r="E322" i="14"/>
  <c r="AE52" i="15"/>
  <c r="AF54" i="15"/>
  <c r="AG54" i="15"/>
  <c r="AD54" i="15"/>
  <c r="AC55" i="15"/>
  <c r="O323" i="14"/>
  <c r="D324" i="17" s="1"/>
  <c r="P323" i="14"/>
  <c r="E324" i="17" s="1"/>
  <c r="M324" i="14"/>
  <c r="N323" i="14"/>
  <c r="C324" i="17" s="1"/>
  <c r="Q321" i="14" l="1"/>
  <c r="F322" i="17" s="1"/>
  <c r="L322" i="17"/>
  <c r="AA321" i="14"/>
  <c r="P322" i="17" s="1"/>
  <c r="Y321" i="14"/>
  <c r="N322" i="17" s="1"/>
  <c r="F322" i="14"/>
  <c r="H322" i="14"/>
  <c r="A322" i="17"/>
  <c r="Z321" i="14"/>
  <c r="O322" i="17" s="1"/>
  <c r="B325" i="17"/>
  <c r="G324" i="14"/>
  <c r="AH56" i="15" s="1"/>
  <c r="AC322" i="14"/>
  <c r="R323" i="17" s="1"/>
  <c r="AB322" i="14"/>
  <c r="Q323" i="17" s="1"/>
  <c r="J321" i="17"/>
  <c r="H321" i="17"/>
  <c r="L322" i="14"/>
  <c r="J323" i="14"/>
  <c r="K323" i="14" s="1"/>
  <c r="AD323" i="14" s="1"/>
  <c r="S324" i="17" s="1"/>
  <c r="B324" i="14"/>
  <c r="I324" i="14"/>
  <c r="A324" i="14"/>
  <c r="D324" i="14"/>
  <c r="C324" i="14"/>
  <c r="E323" i="14"/>
  <c r="AG55" i="15"/>
  <c r="AF55" i="15"/>
  <c r="AE53" i="15"/>
  <c r="AD55" i="15"/>
  <c r="M325" i="14"/>
  <c r="P324" i="14"/>
  <c r="E325" i="17" s="1"/>
  <c r="O324" i="14"/>
  <c r="D325" i="17" s="1"/>
  <c r="N324" i="14"/>
  <c r="C325" i="17" s="1"/>
  <c r="AC56" i="15"/>
  <c r="Q322" i="14" l="1"/>
  <c r="F323" i="17" s="1"/>
  <c r="W322" i="14"/>
  <c r="L323" i="17" s="1"/>
  <c r="S322" i="14"/>
  <c r="U322" i="14" s="1"/>
  <c r="H322" i="17"/>
  <c r="F323" i="14"/>
  <c r="H323" i="14"/>
  <c r="Y322" i="14"/>
  <c r="N323" i="17" s="1"/>
  <c r="AA322" i="14"/>
  <c r="P323" i="17" s="1"/>
  <c r="A323" i="17"/>
  <c r="Z322" i="14"/>
  <c r="O323" i="17" s="1"/>
  <c r="B326" i="17"/>
  <c r="G325" i="14"/>
  <c r="AH57" i="15" s="1"/>
  <c r="L323" i="14"/>
  <c r="AC323" i="14"/>
  <c r="R324" i="17" s="1"/>
  <c r="AB323" i="14"/>
  <c r="Q324" i="17" s="1"/>
  <c r="J322" i="17"/>
  <c r="D325" i="14"/>
  <c r="C325" i="14"/>
  <c r="B325" i="14"/>
  <c r="A325" i="14"/>
  <c r="I325" i="14"/>
  <c r="E324" i="14"/>
  <c r="J324" i="14"/>
  <c r="K324" i="14" s="1"/>
  <c r="AD324" i="14" s="1"/>
  <c r="S325" i="17" s="1"/>
  <c r="AE54" i="15"/>
  <c r="AG56" i="15"/>
  <c r="AF56" i="15"/>
  <c r="AD56" i="15"/>
  <c r="O325" i="14"/>
  <c r="D326" i="17" s="1"/>
  <c r="P325" i="14"/>
  <c r="E326" i="17" s="1"/>
  <c r="N325" i="14"/>
  <c r="C326" i="17" s="1"/>
  <c r="M326" i="14"/>
  <c r="AC57" i="15"/>
  <c r="Q323" i="14" l="1"/>
  <c r="F324" i="17" s="1"/>
  <c r="W323" i="14"/>
  <c r="L324" i="17" s="1"/>
  <c r="S323" i="14"/>
  <c r="H324" i="17" s="1"/>
  <c r="AA323" i="14"/>
  <c r="P324" i="17" s="1"/>
  <c r="Y323" i="14"/>
  <c r="N324" i="17" s="1"/>
  <c r="F324" i="14"/>
  <c r="H324" i="14"/>
  <c r="A324" i="17"/>
  <c r="Z323" i="14"/>
  <c r="O324" i="17" s="1"/>
  <c r="AC324" i="14"/>
  <c r="R325" i="17" s="1"/>
  <c r="AB324" i="14"/>
  <c r="Q325" i="17" s="1"/>
  <c r="B327" i="17"/>
  <c r="G326" i="14"/>
  <c r="AH58" i="15" s="1"/>
  <c r="J323" i="17"/>
  <c r="H323" i="17"/>
  <c r="E325" i="14"/>
  <c r="L324" i="14"/>
  <c r="J325" i="14"/>
  <c r="K325" i="14" s="1"/>
  <c r="AD325" i="14" s="1"/>
  <c r="S326" i="17" s="1"/>
  <c r="B326" i="14"/>
  <c r="I326" i="14"/>
  <c r="A326" i="14"/>
  <c r="D326" i="14"/>
  <c r="C326" i="14"/>
  <c r="AE55" i="15"/>
  <c r="AF57" i="15"/>
  <c r="AG57" i="15"/>
  <c r="AC58" i="15"/>
  <c r="N326" i="14"/>
  <c r="C327" i="17" s="1"/>
  <c r="O326" i="14"/>
  <c r="D327" i="17" s="1"/>
  <c r="M327" i="14"/>
  <c r="P326" i="14"/>
  <c r="E327" i="17" s="1"/>
  <c r="AD57" i="15"/>
  <c r="U323" i="14" l="1"/>
  <c r="J324" i="17" s="1"/>
  <c r="Q324" i="14"/>
  <c r="W324" i="14"/>
  <c r="L325" i="17" s="1"/>
  <c r="S324" i="14"/>
  <c r="U324" i="14" s="1"/>
  <c r="F325" i="14"/>
  <c r="H325" i="14"/>
  <c r="AA324" i="14"/>
  <c r="P325" i="17" s="1"/>
  <c r="Y324" i="14"/>
  <c r="N325" i="17" s="1"/>
  <c r="A325" i="17"/>
  <c r="Z324" i="14"/>
  <c r="O325" i="17" s="1"/>
  <c r="B328" i="17"/>
  <c r="G327" i="14"/>
  <c r="AH59" i="15" s="1"/>
  <c r="L325" i="14"/>
  <c r="AC325" i="14"/>
  <c r="R326" i="17" s="1"/>
  <c r="AB325" i="14"/>
  <c r="Q326" i="17" s="1"/>
  <c r="E326" i="14"/>
  <c r="D327" i="14"/>
  <c r="C327" i="14"/>
  <c r="I327" i="14"/>
  <c r="B327" i="14"/>
  <c r="A327" i="14"/>
  <c r="F325" i="17"/>
  <c r="J326" i="14"/>
  <c r="K326" i="14" s="1"/>
  <c r="AD326" i="14" s="1"/>
  <c r="S327" i="17" s="1"/>
  <c r="AG58" i="15"/>
  <c r="AE56" i="15"/>
  <c r="AF58" i="15"/>
  <c r="N327" i="14"/>
  <c r="C328" i="17" s="1"/>
  <c r="P327" i="14"/>
  <c r="E328" i="17" s="1"/>
  <c r="AC59" i="15"/>
  <c r="M328" i="14"/>
  <c r="O327" i="14"/>
  <c r="D328" i="17" s="1"/>
  <c r="AD58" i="15"/>
  <c r="Q325" i="14" l="1"/>
  <c r="F326" i="17" s="1"/>
  <c r="W325" i="14"/>
  <c r="L326" i="17" s="1"/>
  <c r="S325" i="14"/>
  <c r="H326" i="17" s="1"/>
  <c r="F326" i="14"/>
  <c r="H326" i="14"/>
  <c r="AA325" i="14"/>
  <c r="P326" i="17" s="1"/>
  <c r="Y325" i="14"/>
  <c r="N326" i="17" s="1"/>
  <c r="A326" i="17"/>
  <c r="Z325" i="14"/>
  <c r="O326" i="17" s="1"/>
  <c r="L326" i="14"/>
  <c r="AC326" i="14"/>
  <c r="R327" i="17" s="1"/>
  <c r="AB326" i="14"/>
  <c r="Q327" i="17" s="1"/>
  <c r="B329" i="17"/>
  <c r="G328" i="14"/>
  <c r="AH60" i="15" s="1"/>
  <c r="J325" i="17"/>
  <c r="H325" i="17"/>
  <c r="E327" i="14"/>
  <c r="I328" i="14"/>
  <c r="A328" i="14"/>
  <c r="D328" i="14"/>
  <c r="C328" i="14"/>
  <c r="B328" i="14"/>
  <c r="J327" i="14"/>
  <c r="K327" i="14" s="1"/>
  <c r="AD327" i="14" s="1"/>
  <c r="S328" i="17" s="1"/>
  <c r="AG59" i="15"/>
  <c r="AF59" i="15"/>
  <c r="AE57" i="15"/>
  <c r="AC60" i="15"/>
  <c r="M329" i="14"/>
  <c r="N328" i="14"/>
  <c r="C329" i="17" s="1"/>
  <c r="O328" i="14"/>
  <c r="D329" i="17" s="1"/>
  <c r="P328" i="14"/>
  <c r="E329" i="17" s="1"/>
  <c r="AD59" i="15"/>
  <c r="U325" i="14" l="1"/>
  <c r="J326" i="17" s="1"/>
  <c r="Q326" i="14"/>
  <c r="F327" i="17" s="1"/>
  <c r="W326" i="14"/>
  <c r="L327" i="17" s="1"/>
  <c r="S326" i="14"/>
  <c r="U326" i="14" s="1"/>
  <c r="J327" i="17" s="1"/>
  <c r="F327" i="14"/>
  <c r="H327" i="14"/>
  <c r="Y326" i="14"/>
  <c r="N327" i="17" s="1"/>
  <c r="AA326" i="14"/>
  <c r="P327" i="17" s="1"/>
  <c r="A327" i="17"/>
  <c r="Z326" i="14"/>
  <c r="O327" i="17" s="1"/>
  <c r="B330" i="17"/>
  <c r="G329" i="14"/>
  <c r="AH61" i="15" s="1"/>
  <c r="AC327" i="14"/>
  <c r="R328" i="17" s="1"/>
  <c r="AB327" i="14"/>
  <c r="Q328" i="17" s="1"/>
  <c r="E328" i="14"/>
  <c r="L327" i="14"/>
  <c r="J328" i="14"/>
  <c r="K328" i="14" s="1"/>
  <c r="AD328" i="14" s="1"/>
  <c r="S329" i="17" s="1"/>
  <c r="C329" i="14"/>
  <c r="B329" i="14"/>
  <c r="A329" i="14"/>
  <c r="I329" i="14"/>
  <c r="D329" i="14"/>
  <c r="AE58" i="15"/>
  <c r="AG60" i="15"/>
  <c r="AF60" i="15"/>
  <c r="AD60" i="15"/>
  <c r="P329" i="14"/>
  <c r="E330" i="17" s="1"/>
  <c r="AC61" i="15"/>
  <c r="O329" i="14"/>
  <c r="D330" i="17" s="1"/>
  <c r="M330" i="14"/>
  <c r="N329" i="14"/>
  <c r="C330" i="17" s="1"/>
  <c r="H327" i="17" l="1"/>
  <c r="Q327" i="14"/>
  <c r="L328" i="17"/>
  <c r="F328" i="14"/>
  <c r="H328" i="14"/>
  <c r="AA327" i="14"/>
  <c r="P328" i="17" s="1"/>
  <c r="Y327" i="14"/>
  <c r="N328" i="17" s="1"/>
  <c r="A328" i="17"/>
  <c r="Z327" i="14"/>
  <c r="O328" i="17" s="1"/>
  <c r="L328" i="14"/>
  <c r="AC328" i="14"/>
  <c r="R329" i="17" s="1"/>
  <c r="AB328" i="14"/>
  <c r="Q329" i="17" s="1"/>
  <c r="B331" i="17"/>
  <c r="G330" i="14"/>
  <c r="AH62" i="15" s="1"/>
  <c r="E329" i="14"/>
  <c r="I330" i="14"/>
  <c r="A330" i="14"/>
  <c r="D330" i="14"/>
  <c r="C330" i="14"/>
  <c r="B330" i="14"/>
  <c r="F328" i="17"/>
  <c r="J329" i="14"/>
  <c r="K329" i="14" s="1"/>
  <c r="AD329" i="14" s="1"/>
  <c r="S330" i="17" s="1"/>
  <c r="AF61" i="15"/>
  <c r="AE59" i="15"/>
  <c r="AG61" i="15"/>
  <c r="AD61" i="15"/>
  <c r="AC62" i="15"/>
  <c r="M331" i="14"/>
  <c r="P330" i="14"/>
  <c r="E331" i="17" s="1"/>
  <c r="O330" i="14"/>
  <c r="D331" i="17" s="1"/>
  <c r="N330" i="14"/>
  <c r="C331" i="17" s="1"/>
  <c r="Q328" i="14" l="1"/>
  <c r="F329" i="17" s="1"/>
  <c r="L329" i="17"/>
  <c r="F329" i="14"/>
  <c r="H329" i="14"/>
  <c r="AA328" i="14"/>
  <c r="P329" i="17" s="1"/>
  <c r="Y328" i="14"/>
  <c r="N329" i="17" s="1"/>
  <c r="A329" i="17"/>
  <c r="Z328" i="14"/>
  <c r="O329" i="17" s="1"/>
  <c r="B332" i="17"/>
  <c r="G331" i="14"/>
  <c r="AH63" i="15" s="1"/>
  <c r="AC329" i="14"/>
  <c r="R330" i="17" s="1"/>
  <c r="AB329" i="14"/>
  <c r="Q330" i="17" s="1"/>
  <c r="J328" i="17"/>
  <c r="H328" i="17"/>
  <c r="E330" i="14"/>
  <c r="C331" i="14"/>
  <c r="I331" i="14"/>
  <c r="B331" i="14"/>
  <c r="D331" i="14"/>
  <c r="A331" i="14"/>
  <c r="J330" i="14"/>
  <c r="K330" i="14" s="1"/>
  <c r="AD330" i="14" s="1"/>
  <c r="S331" i="17" s="1"/>
  <c r="L329" i="14"/>
  <c r="AF62" i="15"/>
  <c r="AG62" i="15"/>
  <c r="AE60" i="15"/>
  <c r="AD62" i="15"/>
  <c r="M332" i="14"/>
  <c r="N331" i="14"/>
  <c r="C332" i="17" s="1"/>
  <c r="P331" i="14"/>
  <c r="E332" i="17" s="1"/>
  <c r="AC63" i="15"/>
  <c r="O331" i="14"/>
  <c r="D332" i="17" s="1"/>
  <c r="H329" i="17" l="1"/>
  <c r="Q329" i="14"/>
  <c r="F330" i="17" s="1"/>
  <c r="W329" i="14"/>
  <c r="L330" i="17" s="1"/>
  <c r="S329" i="14"/>
  <c r="U329" i="14" s="1"/>
  <c r="F330" i="14"/>
  <c r="H330" i="14"/>
  <c r="AA329" i="14"/>
  <c r="P330" i="17" s="1"/>
  <c r="Y329" i="14"/>
  <c r="N330" i="17" s="1"/>
  <c r="A330" i="17"/>
  <c r="Z329" i="14"/>
  <c r="O330" i="17" s="1"/>
  <c r="J329" i="17"/>
  <c r="B333" i="17"/>
  <c r="G332" i="14"/>
  <c r="AH64" i="15" s="1"/>
  <c r="AC330" i="14"/>
  <c r="R331" i="17" s="1"/>
  <c r="AB330" i="14"/>
  <c r="Q331" i="17" s="1"/>
  <c r="L330" i="14"/>
  <c r="E331" i="14"/>
  <c r="J331" i="14"/>
  <c r="K331" i="14" s="1"/>
  <c r="AD331" i="14" s="1"/>
  <c r="S332" i="17" s="1"/>
  <c r="D332" i="14"/>
  <c r="C332" i="14"/>
  <c r="I332" i="14"/>
  <c r="B332" i="14"/>
  <c r="A332" i="14"/>
  <c r="AE61" i="15"/>
  <c r="AG63" i="15"/>
  <c r="AF63" i="15"/>
  <c r="AD63" i="15"/>
  <c r="M333" i="14"/>
  <c r="AC64" i="15"/>
  <c r="N332" i="14"/>
  <c r="C333" i="17" s="1"/>
  <c r="P332" i="14"/>
  <c r="E333" i="17" s="1"/>
  <c r="O332" i="14"/>
  <c r="D333" i="17" s="1"/>
  <c r="Q330" i="14" l="1"/>
  <c r="F331" i="17" s="1"/>
  <c r="W330" i="14"/>
  <c r="L331" i="17" s="1"/>
  <c r="S330" i="14"/>
  <c r="U330" i="14" s="1"/>
  <c r="Y330" i="14"/>
  <c r="N331" i="17" s="1"/>
  <c r="AA330" i="14"/>
  <c r="P331" i="17" s="1"/>
  <c r="F331" i="14"/>
  <c r="H331" i="14"/>
  <c r="A331" i="17"/>
  <c r="Z330" i="14"/>
  <c r="O331" i="17" s="1"/>
  <c r="B334" i="17"/>
  <c r="G333" i="14"/>
  <c r="AH65" i="15" s="1"/>
  <c r="AC331" i="14"/>
  <c r="R332" i="17" s="1"/>
  <c r="AB331" i="14"/>
  <c r="Q332" i="17" s="1"/>
  <c r="J330" i="17"/>
  <c r="H330" i="17"/>
  <c r="L331" i="14"/>
  <c r="B333" i="14"/>
  <c r="I333" i="14"/>
  <c r="A333" i="14"/>
  <c r="D333" i="14"/>
  <c r="C333" i="14"/>
  <c r="J332" i="14"/>
  <c r="K332" i="14" s="1"/>
  <c r="AD332" i="14" s="1"/>
  <c r="S333" i="17" s="1"/>
  <c r="E332" i="14"/>
  <c r="AE62" i="15"/>
  <c r="AF64" i="15"/>
  <c r="AG64" i="15"/>
  <c r="AD64" i="15"/>
  <c r="M334" i="14"/>
  <c r="O333" i="14"/>
  <c r="D334" i="17" s="1"/>
  <c r="AC65" i="15"/>
  <c r="P333" i="14"/>
  <c r="E334" i="17" s="1"/>
  <c r="N333" i="14"/>
  <c r="C334" i="17" s="1"/>
  <c r="Q331" i="14" l="1"/>
  <c r="F332" i="17" s="1"/>
  <c r="W331" i="14"/>
  <c r="L332" i="17" s="1"/>
  <c r="S331" i="14"/>
  <c r="U331" i="14" s="1"/>
  <c r="F332" i="14"/>
  <c r="H332" i="14"/>
  <c r="AA331" i="14"/>
  <c r="P332" i="17" s="1"/>
  <c r="Y331" i="14"/>
  <c r="N332" i="17" s="1"/>
  <c r="A332" i="17"/>
  <c r="Z331" i="14"/>
  <c r="O332" i="17" s="1"/>
  <c r="B335" i="17"/>
  <c r="G334" i="14"/>
  <c r="AH66" i="15" s="1"/>
  <c r="AC332" i="14"/>
  <c r="R333" i="17" s="1"/>
  <c r="AB332" i="14"/>
  <c r="Q333" i="17" s="1"/>
  <c r="E333" i="14"/>
  <c r="J331" i="17"/>
  <c r="H331" i="17"/>
  <c r="L332" i="14"/>
  <c r="J333" i="14"/>
  <c r="K333" i="14" s="1"/>
  <c r="AD333" i="14" s="1"/>
  <c r="S334" i="17" s="1"/>
  <c r="D334" i="14"/>
  <c r="C334" i="14"/>
  <c r="B334" i="14"/>
  <c r="A334" i="14"/>
  <c r="I334" i="14"/>
  <c r="AF65" i="15"/>
  <c r="AG65" i="15"/>
  <c r="AE63" i="15"/>
  <c r="P334" i="14"/>
  <c r="E335" i="17" s="1"/>
  <c r="M337" i="14"/>
  <c r="O334" i="14"/>
  <c r="D335" i="17" s="1"/>
  <c r="N334" i="14"/>
  <c r="C335" i="17" s="1"/>
  <c r="AC66" i="15"/>
  <c r="AD65" i="15"/>
  <c r="Q332" i="14" l="1"/>
  <c r="F333" i="17" s="1"/>
  <c r="W332" i="14"/>
  <c r="L333" i="17" s="1"/>
  <c r="S332" i="14"/>
  <c r="U332" i="14" s="1"/>
  <c r="F333" i="14"/>
  <c r="H333" i="14"/>
  <c r="AA332" i="14"/>
  <c r="P333" i="17" s="1"/>
  <c r="Y332" i="14"/>
  <c r="N333" i="17" s="1"/>
  <c r="A333" i="17"/>
  <c r="Z332" i="14"/>
  <c r="O333" i="17" s="1"/>
  <c r="B338" i="17"/>
  <c r="G337" i="14"/>
  <c r="AO4" i="15" s="1"/>
  <c r="L333" i="14"/>
  <c r="AB333" i="14"/>
  <c r="Q334" i="17" s="1"/>
  <c r="AC333" i="14"/>
  <c r="R334" i="17" s="1"/>
  <c r="E334" i="14"/>
  <c r="J332" i="17"/>
  <c r="H332" i="17"/>
  <c r="B337" i="14"/>
  <c r="I337" i="14"/>
  <c r="A337" i="14"/>
  <c r="D337" i="14"/>
  <c r="C337" i="14"/>
  <c r="J334" i="14"/>
  <c r="K334" i="14" s="1"/>
  <c r="AD334" i="14" s="1"/>
  <c r="S335" i="17" s="1"/>
  <c r="AE64" i="15"/>
  <c r="AF66" i="15"/>
  <c r="AG66" i="15"/>
  <c r="AD66" i="15"/>
  <c r="O337" i="14"/>
  <c r="D338" i="17" s="1"/>
  <c r="M338" i="14"/>
  <c r="P337" i="14"/>
  <c r="E338" i="17" s="1"/>
  <c r="N337" i="14"/>
  <c r="C338" i="17" s="1"/>
  <c r="AJ4" i="15"/>
  <c r="H333" i="17" l="1"/>
  <c r="W333" i="14"/>
  <c r="L334" i="17" s="1"/>
  <c r="S333" i="14"/>
  <c r="U333" i="14" s="1"/>
  <c r="J334" i="17" s="1"/>
  <c r="F334" i="14"/>
  <c r="H334" i="14"/>
  <c r="AA333" i="14"/>
  <c r="P334" i="17" s="1"/>
  <c r="Y333" i="14"/>
  <c r="N334" i="17" s="1"/>
  <c r="Q333" i="14"/>
  <c r="F334" i="17" s="1"/>
  <c r="A334" i="17"/>
  <c r="Z333" i="14"/>
  <c r="O334" i="17" s="1"/>
  <c r="AC334" i="14"/>
  <c r="R335" i="17" s="1"/>
  <c r="AB334" i="14"/>
  <c r="Q335" i="17" s="1"/>
  <c r="B339" i="17"/>
  <c r="G338" i="14"/>
  <c r="AO5" i="15" s="1"/>
  <c r="E337" i="14"/>
  <c r="J333" i="17"/>
  <c r="L334" i="14"/>
  <c r="D338" i="14"/>
  <c r="C338" i="14"/>
  <c r="I338" i="14"/>
  <c r="B338" i="14"/>
  <c r="A338" i="14"/>
  <c r="J337" i="14"/>
  <c r="K337" i="14" s="1"/>
  <c r="AD337" i="14" s="1"/>
  <c r="S338" i="17" s="1"/>
  <c r="AM4" i="15"/>
  <c r="AE65" i="15"/>
  <c r="AN4" i="15"/>
  <c r="AK4" i="15"/>
  <c r="AJ5" i="15"/>
  <c r="M339" i="14"/>
  <c r="P338" i="14"/>
  <c r="E339" i="17" s="1"/>
  <c r="O338" i="14"/>
  <c r="D339" i="17" s="1"/>
  <c r="N338" i="14"/>
  <c r="C339" i="17" s="1"/>
  <c r="Q334" i="14" l="1"/>
  <c r="F335" i="17" s="1"/>
  <c r="F336" i="17" s="1"/>
  <c r="L335" i="17"/>
  <c r="F337" i="14"/>
  <c r="H337" i="14"/>
  <c r="Y334" i="14"/>
  <c r="N335" i="17" s="1"/>
  <c r="AA334" i="14"/>
  <c r="P335" i="17" s="1"/>
  <c r="H334" i="17"/>
  <c r="A335" i="17"/>
  <c r="Z334" i="14"/>
  <c r="O335" i="17" s="1"/>
  <c r="L337" i="14"/>
  <c r="AC337" i="14"/>
  <c r="R338" i="17" s="1"/>
  <c r="AB337" i="14"/>
  <c r="Q338" i="17" s="1"/>
  <c r="B340" i="17"/>
  <c r="G339" i="14"/>
  <c r="AO6" i="15" s="1"/>
  <c r="E338" i="14"/>
  <c r="B339" i="14"/>
  <c r="I339" i="14"/>
  <c r="A339" i="14"/>
  <c r="D339" i="14"/>
  <c r="C339" i="14"/>
  <c r="J338" i="14"/>
  <c r="K338" i="14" s="1"/>
  <c r="AD338" i="14" s="1"/>
  <c r="S339" i="17" s="1"/>
  <c r="AN5" i="15"/>
  <c r="AM5" i="15"/>
  <c r="AE66" i="15"/>
  <c r="AK5" i="15"/>
  <c r="AJ6" i="15"/>
  <c r="M340" i="14"/>
  <c r="O339" i="14"/>
  <c r="D340" i="17" s="1"/>
  <c r="P339" i="14"/>
  <c r="E340" i="17" s="1"/>
  <c r="N339" i="14"/>
  <c r="C340" i="17" s="1"/>
  <c r="Q337" i="14" l="1"/>
  <c r="F338" i="17" s="1"/>
  <c r="L338" i="17"/>
  <c r="F338" i="14"/>
  <c r="H338" i="14"/>
  <c r="AA337" i="14"/>
  <c r="P338" i="17" s="1"/>
  <c r="Y337" i="14"/>
  <c r="N338" i="17" s="1"/>
  <c r="A338" i="17"/>
  <c r="Z337" i="14"/>
  <c r="O338" i="17" s="1"/>
  <c r="B341" i="17"/>
  <c r="G340" i="14"/>
  <c r="AO7" i="15" s="1"/>
  <c r="AC338" i="14"/>
  <c r="R339" i="17" s="1"/>
  <c r="AB338" i="14"/>
  <c r="Q339" i="17" s="1"/>
  <c r="J335" i="17"/>
  <c r="H335" i="17"/>
  <c r="AA414" i="17"/>
  <c r="J339" i="14"/>
  <c r="K339" i="14" s="1"/>
  <c r="AD339" i="14" s="1"/>
  <c r="S340" i="17" s="1"/>
  <c r="D340" i="14"/>
  <c r="C340" i="14"/>
  <c r="B340" i="14"/>
  <c r="A340" i="14"/>
  <c r="I340" i="14"/>
  <c r="E339" i="14"/>
  <c r="L338" i="14"/>
  <c r="AL4" i="15"/>
  <c r="AM6" i="15"/>
  <c r="AN6" i="15"/>
  <c r="AK6" i="15"/>
  <c r="P340" i="14"/>
  <c r="E341" i="17" s="1"/>
  <c r="N340" i="14"/>
  <c r="C341" i="17" s="1"/>
  <c r="AJ7" i="15"/>
  <c r="M341" i="14"/>
  <c r="O340" i="14"/>
  <c r="D341" i="17" s="1"/>
  <c r="Q338" i="14" l="1"/>
  <c r="W338" i="14"/>
  <c r="S338" i="14"/>
  <c r="U338" i="14" s="1"/>
  <c r="AA338" i="14"/>
  <c r="P339" i="17" s="1"/>
  <c r="Y338" i="14"/>
  <c r="N339" i="17" s="1"/>
  <c r="F339" i="14"/>
  <c r="H339" i="14"/>
  <c r="J338" i="17"/>
  <c r="A339" i="17"/>
  <c r="Z338" i="14"/>
  <c r="O339" i="17" s="1"/>
  <c r="H338" i="17"/>
  <c r="L339" i="14"/>
  <c r="AC339" i="14"/>
  <c r="R340" i="17" s="1"/>
  <c r="AB339" i="14"/>
  <c r="Q340" i="17" s="1"/>
  <c r="B342" i="17"/>
  <c r="G341" i="14"/>
  <c r="AO8" i="15" s="1"/>
  <c r="E340" i="14"/>
  <c r="I341" i="14"/>
  <c r="A341" i="14"/>
  <c r="D341" i="14"/>
  <c r="C341" i="14"/>
  <c r="B341" i="14"/>
  <c r="J340" i="14"/>
  <c r="K340" i="14" s="1"/>
  <c r="AD340" i="14" s="1"/>
  <c r="S341" i="17" s="1"/>
  <c r="L339" i="17"/>
  <c r="F339" i="17"/>
  <c r="AL5" i="15"/>
  <c r="AN7" i="15"/>
  <c r="AM7" i="15"/>
  <c r="AK7" i="15"/>
  <c r="P341" i="14"/>
  <c r="E342" i="17" s="1"/>
  <c r="N341" i="14"/>
  <c r="C342" i="17" s="1"/>
  <c r="M342" i="14"/>
  <c r="AJ8" i="15"/>
  <c r="O341" i="14"/>
  <c r="D342" i="17" s="1"/>
  <c r="Z322" i="17" l="1"/>
  <c r="Q339" i="14"/>
  <c r="F340" i="17" s="1"/>
  <c r="W339" i="14"/>
  <c r="L340" i="17" s="1"/>
  <c r="S339" i="14"/>
  <c r="H340" i="17" s="1"/>
  <c r="AA339" i="14"/>
  <c r="P340" i="17" s="1"/>
  <c r="Y339" i="14"/>
  <c r="N340" i="17" s="1"/>
  <c r="F340" i="14"/>
  <c r="H340" i="14"/>
  <c r="A340" i="17"/>
  <c r="Z339" i="14"/>
  <c r="O340" i="17" s="1"/>
  <c r="B343" i="17"/>
  <c r="G342" i="14"/>
  <c r="AO9" i="15" s="1"/>
  <c r="L340" i="14"/>
  <c r="AC340" i="14"/>
  <c r="R341" i="17" s="1"/>
  <c r="AB340" i="14"/>
  <c r="Q341" i="17" s="1"/>
  <c r="H339" i="17"/>
  <c r="C342" i="14"/>
  <c r="B342" i="14"/>
  <c r="I342" i="14"/>
  <c r="D342" i="14"/>
  <c r="A342" i="14"/>
  <c r="J341" i="14"/>
  <c r="K341" i="14" s="1"/>
  <c r="AD341" i="14" s="1"/>
  <c r="S342" i="17" s="1"/>
  <c r="E341" i="14"/>
  <c r="AL6" i="15"/>
  <c r="AN8" i="15"/>
  <c r="AM8" i="15"/>
  <c r="AK8" i="15"/>
  <c r="M343" i="14"/>
  <c r="P342" i="14"/>
  <c r="E343" i="17" s="1"/>
  <c r="O342" i="14"/>
  <c r="D343" i="17" s="1"/>
  <c r="AJ9" i="15"/>
  <c r="N342" i="14"/>
  <c r="C343" i="17" s="1"/>
  <c r="AC322" i="17" l="1"/>
  <c r="AC323" i="17" s="1"/>
  <c r="AC414" i="17" s="1"/>
  <c r="AA322" i="17"/>
  <c r="AB414" i="17" s="1"/>
  <c r="U339" i="14"/>
  <c r="J340" i="17" s="1"/>
  <c r="Q340" i="14"/>
  <c r="F341" i="17" s="1"/>
  <c r="W340" i="14"/>
  <c r="L341" i="17" s="1"/>
  <c r="S340" i="14"/>
  <c r="U340" i="14" s="1"/>
  <c r="J341" i="17" s="1"/>
  <c r="F341" i="14"/>
  <c r="H341" i="14"/>
  <c r="Y340" i="14"/>
  <c r="N341" i="17" s="1"/>
  <c r="AA340" i="14"/>
  <c r="P341" i="17" s="1"/>
  <c r="J339" i="17"/>
  <c r="A341" i="17"/>
  <c r="Z340" i="14"/>
  <c r="O341" i="17" s="1"/>
  <c r="B344" i="17"/>
  <c r="G343" i="14"/>
  <c r="AO10" i="15" s="1"/>
  <c r="L341" i="14"/>
  <c r="AC341" i="14"/>
  <c r="R342" i="17" s="1"/>
  <c r="AB341" i="14"/>
  <c r="Q342" i="17" s="1"/>
  <c r="J342" i="14"/>
  <c r="K342" i="14" s="1"/>
  <c r="AD342" i="14" s="1"/>
  <c r="S343" i="17" s="1"/>
  <c r="I343" i="14"/>
  <c r="A343" i="14"/>
  <c r="D343" i="14"/>
  <c r="C343" i="14"/>
  <c r="B343" i="14"/>
  <c r="E342" i="14"/>
  <c r="AM9" i="15"/>
  <c r="AN9" i="15"/>
  <c r="AL7" i="15"/>
  <c r="AK9" i="15"/>
  <c r="M344" i="14"/>
  <c r="AJ10" i="15"/>
  <c r="N343" i="14"/>
  <c r="C344" i="17" s="1"/>
  <c r="O343" i="14"/>
  <c r="D344" i="17" s="1"/>
  <c r="P343" i="14"/>
  <c r="E344" i="17" s="1"/>
  <c r="H341" i="17" l="1"/>
  <c r="Q341" i="14"/>
  <c r="F342" i="17" s="1"/>
  <c r="W341" i="14"/>
  <c r="L342" i="17" s="1"/>
  <c r="S341" i="14"/>
  <c r="U341" i="14" s="1"/>
  <c r="F342" i="14"/>
  <c r="H342" i="14"/>
  <c r="AA341" i="14"/>
  <c r="P342" i="17" s="1"/>
  <c r="Y341" i="14"/>
  <c r="N342" i="17" s="1"/>
  <c r="A342" i="17"/>
  <c r="Z341" i="14"/>
  <c r="O342" i="17" s="1"/>
  <c r="L342" i="14"/>
  <c r="AC342" i="14"/>
  <c r="R343" i="17" s="1"/>
  <c r="AB342" i="14"/>
  <c r="Q343" i="17" s="1"/>
  <c r="B345" i="17"/>
  <c r="G344" i="14"/>
  <c r="AO11" i="15" s="1"/>
  <c r="E343" i="14"/>
  <c r="C344" i="14"/>
  <c r="I344" i="14"/>
  <c r="B344" i="14"/>
  <c r="A344" i="14"/>
  <c r="D344" i="14"/>
  <c r="J343" i="14"/>
  <c r="K343" i="14" s="1"/>
  <c r="AD343" i="14" s="1"/>
  <c r="S344" i="17" s="1"/>
  <c r="AL8" i="15"/>
  <c r="AN10" i="15"/>
  <c r="AM10" i="15"/>
  <c r="N344" i="14"/>
  <c r="C345" i="17" s="1"/>
  <c r="AJ11" i="15"/>
  <c r="M345" i="14"/>
  <c r="O344" i="14"/>
  <c r="D345" i="17" s="1"/>
  <c r="P344" i="14"/>
  <c r="E345" i="17" s="1"/>
  <c r="AK10" i="15"/>
  <c r="H342" i="17" l="1"/>
  <c r="Q342" i="14"/>
  <c r="F343" i="17" s="1"/>
  <c r="W342" i="14"/>
  <c r="L343" i="17" s="1"/>
  <c r="S342" i="14"/>
  <c r="U342" i="14" s="1"/>
  <c r="AA342" i="14"/>
  <c r="P343" i="17" s="1"/>
  <c r="Y342" i="14"/>
  <c r="N343" i="17" s="1"/>
  <c r="F343" i="14"/>
  <c r="H343" i="14"/>
  <c r="A343" i="17"/>
  <c r="Z342" i="14"/>
  <c r="O343" i="17" s="1"/>
  <c r="B346" i="17"/>
  <c r="G345" i="14"/>
  <c r="AO12" i="15" s="1"/>
  <c r="AC343" i="14"/>
  <c r="R344" i="17" s="1"/>
  <c r="AB343" i="14"/>
  <c r="Q344" i="17" s="1"/>
  <c r="E344" i="14"/>
  <c r="L343" i="14"/>
  <c r="D345" i="14"/>
  <c r="C345" i="14"/>
  <c r="B345" i="14"/>
  <c r="A345" i="14"/>
  <c r="I345" i="14"/>
  <c r="J344" i="14"/>
  <c r="K344" i="14" s="1"/>
  <c r="AD344" i="14" s="1"/>
  <c r="S345" i="17" s="1"/>
  <c r="AL9" i="15"/>
  <c r="AM11" i="15"/>
  <c r="AN11" i="15"/>
  <c r="AK11" i="15"/>
  <c r="P345" i="14"/>
  <c r="E346" i="17" s="1"/>
  <c r="M346" i="14"/>
  <c r="AJ12" i="15"/>
  <c r="N345" i="14"/>
  <c r="C346" i="17" s="1"/>
  <c r="O345" i="14"/>
  <c r="D346" i="17" s="1"/>
  <c r="Q343" i="14" l="1"/>
  <c r="F344" i="17" s="1"/>
  <c r="L344" i="17"/>
  <c r="H343" i="17"/>
  <c r="F344" i="14"/>
  <c r="H344" i="14"/>
  <c r="AA343" i="14"/>
  <c r="P344" i="17" s="1"/>
  <c r="Y343" i="14"/>
  <c r="N344" i="17" s="1"/>
  <c r="J342" i="17"/>
  <c r="A344" i="17"/>
  <c r="Z343" i="14"/>
  <c r="O344" i="17" s="1"/>
  <c r="J343" i="17"/>
  <c r="B347" i="17"/>
  <c r="G346" i="14"/>
  <c r="AO13" i="15" s="1"/>
  <c r="AC344" i="14"/>
  <c r="R345" i="17" s="1"/>
  <c r="AB344" i="14"/>
  <c r="Q345" i="17" s="1"/>
  <c r="L344" i="14"/>
  <c r="J345" i="14"/>
  <c r="K345" i="14" s="1"/>
  <c r="AD345" i="14" s="1"/>
  <c r="S346" i="17" s="1"/>
  <c r="E345" i="14"/>
  <c r="B346" i="14"/>
  <c r="I346" i="14"/>
  <c r="A346" i="14"/>
  <c r="D346" i="14"/>
  <c r="C346" i="14"/>
  <c r="AL10" i="15"/>
  <c r="AN12" i="15"/>
  <c r="AM12" i="15"/>
  <c r="AK12" i="15"/>
  <c r="P346" i="14"/>
  <c r="E347" i="17" s="1"/>
  <c r="O346" i="14"/>
  <c r="D347" i="17" s="1"/>
  <c r="M347" i="14"/>
  <c r="AJ13" i="15"/>
  <c r="N346" i="14"/>
  <c r="C347" i="17" s="1"/>
  <c r="Q344" i="14" l="1"/>
  <c r="F345" i="17" s="1"/>
  <c r="L345" i="17"/>
  <c r="F345" i="14"/>
  <c r="H345" i="14"/>
  <c r="Y344" i="14"/>
  <c r="N345" i="17" s="1"/>
  <c r="AA344" i="14"/>
  <c r="P345" i="17" s="1"/>
  <c r="A345" i="17"/>
  <c r="Z344" i="14"/>
  <c r="O345" i="17" s="1"/>
  <c r="B348" i="17"/>
  <c r="G347" i="14"/>
  <c r="AO14" i="15" s="1"/>
  <c r="AC345" i="14"/>
  <c r="R346" i="17" s="1"/>
  <c r="AB345" i="14"/>
  <c r="Q346" i="17" s="1"/>
  <c r="E346" i="14"/>
  <c r="H344" i="17"/>
  <c r="L345" i="14"/>
  <c r="J346" i="14"/>
  <c r="K346" i="14" s="1"/>
  <c r="AD346" i="14" s="1"/>
  <c r="S347" i="17" s="1"/>
  <c r="D347" i="14"/>
  <c r="C347" i="14"/>
  <c r="I347" i="14"/>
  <c r="B347" i="14"/>
  <c r="A347" i="14"/>
  <c r="AN13" i="15"/>
  <c r="AM13" i="15"/>
  <c r="AL11" i="15"/>
  <c r="AK13" i="15"/>
  <c r="O347" i="14"/>
  <c r="D348" i="17" s="1"/>
  <c r="M348" i="14"/>
  <c r="P347" i="14"/>
  <c r="E348" i="17" s="1"/>
  <c r="AJ14" i="15"/>
  <c r="N347" i="14"/>
  <c r="C348" i="17" s="1"/>
  <c r="Q345" i="14" l="1"/>
  <c r="F346" i="17" s="1"/>
  <c r="W345" i="14"/>
  <c r="L346" i="17" s="1"/>
  <c r="S345" i="14"/>
  <c r="H346" i="17" s="1"/>
  <c r="F346" i="14"/>
  <c r="H346" i="14"/>
  <c r="AA345" i="14"/>
  <c r="P346" i="17" s="1"/>
  <c r="Y345" i="14"/>
  <c r="N346" i="17" s="1"/>
  <c r="J344" i="17"/>
  <c r="A346" i="17"/>
  <c r="Z345" i="14"/>
  <c r="O346" i="17" s="1"/>
  <c r="B349" i="17"/>
  <c r="G348" i="14"/>
  <c r="AO15" i="15" s="1"/>
  <c r="AC346" i="14"/>
  <c r="R347" i="17" s="1"/>
  <c r="AB346" i="14"/>
  <c r="Q347" i="17" s="1"/>
  <c r="J345" i="17"/>
  <c r="H345" i="17"/>
  <c r="L346" i="14"/>
  <c r="J347" i="14"/>
  <c r="K347" i="14" s="1"/>
  <c r="AD347" i="14" s="1"/>
  <c r="S348" i="17" s="1"/>
  <c r="I348" i="14"/>
  <c r="B348" i="14"/>
  <c r="A348" i="14"/>
  <c r="D348" i="14"/>
  <c r="C348" i="14"/>
  <c r="E347" i="14"/>
  <c r="AM14" i="15"/>
  <c r="AL12" i="15"/>
  <c r="AN14" i="15"/>
  <c r="AK14" i="15"/>
  <c r="M349" i="14"/>
  <c r="O348" i="14"/>
  <c r="D349" i="17" s="1"/>
  <c r="N348" i="14"/>
  <c r="C349" i="17" s="1"/>
  <c r="AJ15" i="15"/>
  <c r="P348" i="14"/>
  <c r="E349" i="17" s="1"/>
  <c r="U345" i="14" l="1"/>
  <c r="Q346" i="14"/>
  <c r="F347" i="17" s="1"/>
  <c r="W346" i="14"/>
  <c r="L347" i="17" s="1"/>
  <c r="S346" i="14"/>
  <c r="U346" i="14" s="1"/>
  <c r="AA346" i="14"/>
  <c r="P347" i="17" s="1"/>
  <c r="Y346" i="14"/>
  <c r="N347" i="17" s="1"/>
  <c r="F347" i="14"/>
  <c r="H347" i="14"/>
  <c r="A347" i="17"/>
  <c r="Z346" i="14"/>
  <c r="O347" i="17" s="1"/>
  <c r="B350" i="17"/>
  <c r="G349" i="14"/>
  <c r="AO16" i="15" s="1"/>
  <c r="AC347" i="14"/>
  <c r="R348" i="17" s="1"/>
  <c r="AB347" i="14"/>
  <c r="Q348" i="17" s="1"/>
  <c r="L347" i="14"/>
  <c r="E348" i="14"/>
  <c r="J348" i="14"/>
  <c r="K348" i="14" s="1"/>
  <c r="AD348" i="14" s="1"/>
  <c r="S349" i="17" s="1"/>
  <c r="C349" i="14"/>
  <c r="B349" i="14"/>
  <c r="A349" i="14"/>
  <c r="I349" i="14"/>
  <c r="D349" i="14"/>
  <c r="AM15" i="15"/>
  <c r="AN15" i="15"/>
  <c r="AL13" i="15"/>
  <c r="AK15" i="15"/>
  <c r="N349" i="14"/>
  <c r="C350" i="17" s="1"/>
  <c r="O349" i="14"/>
  <c r="D350" i="17" s="1"/>
  <c r="AJ16" i="15"/>
  <c r="M350" i="14"/>
  <c r="P349" i="14"/>
  <c r="E350" i="17" s="1"/>
  <c r="Q347" i="14" l="1"/>
  <c r="F348" i="17" s="1"/>
  <c r="L348" i="17"/>
  <c r="F348" i="14"/>
  <c r="H348" i="14"/>
  <c r="AA347" i="14"/>
  <c r="P348" i="17" s="1"/>
  <c r="Y347" i="14"/>
  <c r="N348" i="17" s="1"/>
  <c r="J346" i="17"/>
  <c r="A348" i="17"/>
  <c r="Z347" i="14"/>
  <c r="O348" i="17" s="1"/>
  <c r="AC348" i="14"/>
  <c r="R349" i="17" s="1"/>
  <c r="AB348" i="14"/>
  <c r="Q349" i="17" s="1"/>
  <c r="B351" i="17"/>
  <c r="G350" i="14"/>
  <c r="AO17" i="15" s="1"/>
  <c r="E349" i="14"/>
  <c r="J347" i="17"/>
  <c r="H347" i="17"/>
  <c r="L348" i="14"/>
  <c r="J349" i="14"/>
  <c r="K349" i="14" s="1"/>
  <c r="AD349" i="14" s="1"/>
  <c r="S350" i="17" s="1"/>
  <c r="I350" i="14"/>
  <c r="A350" i="14"/>
  <c r="D350" i="14"/>
  <c r="C350" i="14"/>
  <c r="B350" i="14"/>
  <c r="AL14" i="15"/>
  <c r="AM16" i="15"/>
  <c r="AN16" i="15"/>
  <c r="AK16" i="15"/>
  <c r="O350" i="14"/>
  <c r="D351" i="17" s="1"/>
  <c r="M351" i="14"/>
  <c r="AJ17" i="15"/>
  <c r="N350" i="14"/>
  <c r="C351" i="17" s="1"/>
  <c r="P350" i="14"/>
  <c r="E351" i="17" s="1"/>
  <c r="H348" i="17" l="1"/>
  <c r="Q348" i="14"/>
  <c r="F349" i="17" s="1"/>
  <c r="W348" i="14"/>
  <c r="L349" i="17" s="1"/>
  <c r="S348" i="14"/>
  <c r="U348" i="14" s="1"/>
  <c r="F349" i="14"/>
  <c r="H349" i="14"/>
  <c r="Y348" i="14"/>
  <c r="N349" i="17" s="1"/>
  <c r="AA348" i="14"/>
  <c r="P349" i="17" s="1"/>
  <c r="A349" i="17"/>
  <c r="Z348" i="14"/>
  <c r="O349" i="17" s="1"/>
  <c r="L349" i="14"/>
  <c r="AC349" i="14"/>
  <c r="R350" i="17" s="1"/>
  <c r="AB349" i="14"/>
  <c r="Q350" i="17" s="1"/>
  <c r="B352" i="17"/>
  <c r="G351" i="14"/>
  <c r="AO18" i="15" s="1"/>
  <c r="J348" i="17"/>
  <c r="C351" i="14"/>
  <c r="B351" i="14"/>
  <c r="I351" i="14"/>
  <c r="D351" i="14"/>
  <c r="A351" i="14"/>
  <c r="E350" i="14"/>
  <c r="J350" i="14"/>
  <c r="K350" i="14" s="1"/>
  <c r="AD350" i="14" s="1"/>
  <c r="S351" i="17" s="1"/>
  <c r="AL15" i="15"/>
  <c r="AN17" i="15"/>
  <c r="AM17" i="15"/>
  <c r="AK17" i="15"/>
  <c r="N351" i="14"/>
  <c r="C352" i="17" s="1"/>
  <c r="M352" i="14"/>
  <c r="P351" i="14"/>
  <c r="E352" i="17" s="1"/>
  <c r="AJ18" i="15"/>
  <c r="O351" i="14"/>
  <c r="D352" i="17" s="1"/>
  <c r="H349" i="17" l="1"/>
  <c r="Q349" i="14"/>
  <c r="F350" i="17" s="1"/>
  <c r="W349" i="14"/>
  <c r="L350" i="17" s="1"/>
  <c r="S349" i="14"/>
  <c r="U349" i="14" s="1"/>
  <c r="F350" i="14"/>
  <c r="H350" i="14"/>
  <c r="AA349" i="14"/>
  <c r="P350" i="17" s="1"/>
  <c r="Y349" i="14"/>
  <c r="N350" i="17" s="1"/>
  <c r="A350" i="17"/>
  <c r="Z349" i="14"/>
  <c r="O350" i="17" s="1"/>
  <c r="AC350" i="14"/>
  <c r="R351" i="17" s="1"/>
  <c r="AB350" i="14"/>
  <c r="Q351" i="17" s="1"/>
  <c r="B353" i="17"/>
  <c r="G352" i="14"/>
  <c r="AO19" i="15" s="1"/>
  <c r="E351" i="14"/>
  <c r="J349" i="17"/>
  <c r="L350" i="14"/>
  <c r="J351" i="14"/>
  <c r="K351" i="14" s="1"/>
  <c r="AD351" i="14" s="1"/>
  <c r="S352" i="17" s="1"/>
  <c r="A352" i="14"/>
  <c r="D352" i="14"/>
  <c r="I352" i="14"/>
  <c r="C352" i="14"/>
  <c r="B352" i="14"/>
  <c r="AM18" i="15"/>
  <c r="AL16" i="15"/>
  <c r="AN18" i="15"/>
  <c r="O352" i="14"/>
  <c r="D353" i="17" s="1"/>
  <c r="N352" i="14"/>
  <c r="C353" i="17" s="1"/>
  <c r="AJ19" i="15"/>
  <c r="P352" i="14"/>
  <c r="E353" i="17" s="1"/>
  <c r="M353" i="14"/>
  <c r="AK18" i="15"/>
  <c r="H350" i="17" l="1"/>
  <c r="Q350" i="14"/>
  <c r="F351" i="17" s="1"/>
  <c r="L351" i="17"/>
  <c r="F351" i="14"/>
  <c r="H351" i="14"/>
  <c r="AA350" i="14"/>
  <c r="P351" i="17" s="1"/>
  <c r="Y350" i="14"/>
  <c r="N351" i="17" s="1"/>
  <c r="J350" i="17"/>
  <c r="A351" i="17"/>
  <c r="Z350" i="14"/>
  <c r="O351" i="17" s="1"/>
  <c r="B354" i="17"/>
  <c r="G353" i="14"/>
  <c r="AO20" i="15" s="1"/>
  <c r="AC351" i="14"/>
  <c r="R352" i="17" s="1"/>
  <c r="AB351" i="14"/>
  <c r="Q352" i="17" s="1"/>
  <c r="L351" i="14"/>
  <c r="B353" i="14"/>
  <c r="I353" i="14"/>
  <c r="A353" i="14"/>
  <c r="D353" i="14"/>
  <c r="C353" i="14"/>
  <c r="E352" i="14"/>
  <c r="J352" i="14"/>
  <c r="K352" i="14" s="1"/>
  <c r="AD352" i="14" s="1"/>
  <c r="S353" i="17" s="1"/>
  <c r="AM19" i="15"/>
  <c r="AL17" i="15"/>
  <c r="AN19" i="15"/>
  <c r="P353" i="14"/>
  <c r="E354" i="17" s="1"/>
  <c r="M354" i="14"/>
  <c r="AJ20" i="15"/>
  <c r="N353" i="14"/>
  <c r="C354" i="17" s="1"/>
  <c r="O353" i="14"/>
  <c r="D354" i="17" s="1"/>
  <c r="AK19" i="15"/>
  <c r="Q351" i="14" l="1"/>
  <c r="F352" i="17" s="1"/>
  <c r="L352" i="17"/>
  <c r="F352" i="14"/>
  <c r="H352" i="14"/>
  <c r="AA351" i="14"/>
  <c r="P352" i="17" s="1"/>
  <c r="Y351" i="14"/>
  <c r="N352" i="17" s="1"/>
  <c r="A352" i="17"/>
  <c r="Z351" i="14"/>
  <c r="O352" i="17" s="1"/>
  <c r="B355" i="17"/>
  <c r="G354" i="14"/>
  <c r="AO21" i="15" s="1"/>
  <c r="AC352" i="14"/>
  <c r="R353" i="17" s="1"/>
  <c r="AB352" i="14"/>
  <c r="Q353" i="17" s="1"/>
  <c r="E353" i="14"/>
  <c r="J351" i="17"/>
  <c r="H351" i="17"/>
  <c r="L352" i="14"/>
  <c r="J353" i="14"/>
  <c r="K353" i="14" s="1"/>
  <c r="AD353" i="14" s="1"/>
  <c r="S354" i="17" s="1"/>
  <c r="D354" i="14"/>
  <c r="C354" i="14"/>
  <c r="B354" i="14"/>
  <c r="A354" i="14"/>
  <c r="I354" i="14"/>
  <c r="AN20" i="15"/>
  <c r="AM20" i="15"/>
  <c r="AL18" i="15"/>
  <c r="AK20" i="15"/>
  <c r="N354" i="14"/>
  <c r="C355" i="17" s="1"/>
  <c r="P354" i="14"/>
  <c r="E355" i="17" s="1"/>
  <c r="M355" i="14"/>
  <c r="AJ21" i="15"/>
  <c r="O354" i="14"/>
  <c r="D355" i="17" s="1"/>
  <c r="H352" i="17" l="1"/>
  <c r="Q352" i="14"/>
  <c r="F353" i="17" s="1"/>
  <c r="W352" i="14"/>
  <c r="L353" i="17" s="1"/>
  <c r="S352" i="14"/>
  <c r="U352" i="14" s="1"/>
  <c r="F353" i="14"/>
  <c r="H353" i="14"/>
  <c r="Y352" i="14"/>
  <c r="N353" i="17" s="1"/>
  <c r="AA352" i="14"/>
  <c r="P353" i="17" s="1"/>
  <c r="A353" i="17"/>
  <c r="Z352" i="14"/>
  <c r="O353" i="17" s="1"/>
  <c r="AC353" i="14"/>
  <c r="R354" i="17" s="1"/>
  <c r="AB353" i="14"/>
  <c r="Q354" i="17" s="1"/>
  <c r="B356" i="17"/>
  <c r="G355" i="14"/>
  <c r="AO22" i="15" s="1"/>
  <c r="E354" i="14"/>
  <c r="L353" i="14"/>
  <c r="B355" i="14"/>
  <c r="I355" i="14"/>
  <c r="A355" i="14"/>
  <c r="D355" i="14"/>
  <c r="C355" i="14"/>
  <c r="J352" i="17"/>
  <c r="J354" i="14"/>
  <c r="K354" i="14" s="1"/>
  <c r="AD354" i="14" s="1"/>
  <c r="S355" i="17" s="1"/>
  <c r="AL19" i="15"/>
  <c r="AM21" i="15"/>
  <c r="AN21" i="15"/>
  <c r="AK21" i="15"/>
  <c r="AJ22" i="15"/>
  <c r="O355" i="14"/>
  <c r="D356" i="17" s="1"/>
  <c r="P355" i="14"/>
  <c r="E356" i="17" s="1"/>
  <c r="N355" i="14"/>
  <c r="C356" i="17" s="1"/>
  <c r="M356" i="14"/>
  <c r="Q353" i="14" l="1"/>
  <c r="F354" i="17" s="1"/>
  <c r="W353" i="14"/>
  <c r="L354" i="17" s="1"/>
  <c r="S353" i="14"/>
  <c r="U353" i="14" s="1"/>
  <c r="AA353" i="14"/>
  <c r="P354" i="17" s="1"/>
  <c r="Y353" i="14"/>
  <c r="N354" i="17" s="1"/>
  <c r="F354" i="14"/>
  <c r="H354" i="14"/>
  <c r="A354" i="17"/>
  <c r="Z353" i="14"/>
  <c r="O354" i="17" s="1"/>
  <c r="AC354" i="14"/>
  <c r="R355" i="17" s="1"/>
  <c r="AB354" i="14"/>
  <c r="Q355" i="17" s="1"/>
  <c r="B357" i="17"/>
  <c r="G356" i="14"/>
  <c r="AO23" i="15" s="1"/>
  <c r="J353" i="17"/>
  <c r="H353" i="17"/>
  <c r="L354" i="14"/>
  <c r="D356" i="14"/>
  <c r="C356" i="14"/>
  <c r="I356" i="14"/>
  <c r="B356" i="14"/>
  <c r="A356" i="14"/>
  <c r="J355" i="14"/>
  <c r="K355" i="14" s="1"/>
  <c r="AD355" i="14" s="1"/>
  <c r="S356" i="17" s="1"/>
  <c r="E355" i="14"/>
  <c r="AM22" i="15"/>
  <c r="AL20" i="15"/>
  <c r="AN22" i="15"/>
  <c r="M357" i="14"/>
  <c r="N356" i="14"/>
  <c r="C357" i="17" s="1"/>
  <c r="AJ23" i="15"/>
  <c r="P356" i="14"/>
  <c r="E357" i="17" s="1"/>
  <c r="O356" i="14"/>
  <c r="D357" i="17" s="1"/>
  <c r="AK22" i="15"/>
  <c r="Q354" i="14" l="1"/>
  <c r="F355" i="17" s="1"/>
  <c r="W354" i="14"/>
  <c r="L355" i="17" s="1"/>
  <c r="S354" i="14"/>
  <c r="U354" i="14" s="1"/>
  <c r="F355" i="14"/>
  <c r="H355" i="14"/>
  <c r="AA354" i="14"/>
  <c r="P355" i="17" s="1"/>
  <c r="Y354" i="14"/>
  <c r="N355" i="17" s="1"/>
  <c r="A355" i="17"/>
  <c r="Z354" i="14"/>
  <c r="O355" i="17" s="1"/>
  <c r="B358" i="17"/>
  <c r="G357" i="14"/>
  <c r="AO24" i="15" s="1"/>
  <c r="AC355" i="14"/>
  <c r="R356" i="17" s="1"/>
  <c r="AB355" i="14"/>
  <c r="Q356" i="17" s="1"/>
  <c r="J354" i="17"/>
  <c r="H354" i="17"/>
  <c r="E356" i="14"/>
  <c r="L355" i="14"/>
  <c r="J356" i="14"/>
  <c r="K356" i="14" s="1"/>
  <c r="AD356" i="14" s="1"/>
  <c r="S357" i="17" s="1"/>
  <c r="I357" i="14"/>
  <c r="A357" i="14"/>
  <c r="D357" i="14"/>
  <c r="C357" i="14"/>
  <c r="B357" i="14"/>
  <c r="AL21" i="15"/>
  <c r="AM23" i="15"/>
  <c r="AN23" i="15"/>
  <c r="P357" i="14"/>
  <c r="E358" i="17" s="1"/>
  <c r="M358" i="14"/>
  <c r="O357" i="14"/>
  <c r="D358" i="17" s="1"/>
  <c r="AJ24" i="15"/>
  <c r="N357" i="14"/>
  <c r="C358" i="17" s="1"/>
  <c r="AK23" i="15"/>
  <c r="Q355" i="14" l="1"/>
  <c r="F356" i="17" s="1"/>
  <c r="W355" i="14"/>
  <c r="L356" i="17" s="1"/>
  <c r="S355" i="14"/>
  <c r="U355" i="14" s="1"/>
  <c r="F356" i="14"/>
  <c r="H356" i="14"/>
  <c r="AA355" i="14"/>
  <c r="P356" i="17" s="1"/>
  <c r="Y355" i="14"/>
  <c r="N356" i="17" s="1"/>
  <c r="A356" i="17"/>
  <c r="Z355" i="14"/>
  <c r="O356" i="17" s="1"/>
  <c r="L356" i="14"/>
  <c r="AC356" i="14"/>
  <c r="R357" i="17" s="1"/>
  <c r="AB356" i="14"/>
  <c r="Q357" i="17" s="1"/>
  <c r="B359" i="17"/>
  <c r="G358" i="14"/>
  <c r="AO25" i="15" s="1"/>
  <c r="J355" i="17"/>
  <c r="H355" i="17"/>
  <c r="E357" i="14"/>
  <c r="J357" i="14"/>
  <c r="K357" i="14" s="1"/>
  <c r="AD357" i="14" s="1"/>
  <c r="S358" i="17" s="1"/>
  <c r="C358" i="14"/>
  <c r="B358" i="14"/>
  <c r="A358" i="14"/>
  <c r="I358" i="14"/>
  <c r="D358" i="14"/>
  <c r="AL22" i="15"/>
  <c r="AN24" i="15"/>
  <c r="AM24" i="15"/>
  <c r="AK24" i="15"/>
  <c r="AJ25" i="15"/>
  <c r="M359" i="14"/>
  <c r="P358" i="14"/>
  <c r="E359" i="17" s="1"/>
  <c r="O358" i="14"/>
  <c r="D359" i="17" s="1"/>
  <c r="N358" i="14"/>
  <c r="C359" i="17" s="1"/>
  <c r="H356" i="17" l="1"/>
  <c r="Q356" i="14"/>
  <c r="F357" i="17" s="1"/>
  <c r="W356" i="14"/>
  <c r="L357" i="17" s="1"/>
  <c r="S356" i="14"/>
  <c r="U356" i="14" s="1"/>
  <c r="F357" i="14"/>
  <c r="H357" i="14"/>
  <c r="Y356" i="14"/>
  <c r="N357" i="17" s="1"/>
  <c r="AA356" i="14"/>
  <c r="P357" i="17" s="1"/>
  <c r="A357" i="17"/>
  <c r="Z356" i="14"/>
  <c r="O357" i="17" s="1"/>
  <c r="B360" i="17"/>
  <c r="G359" i="14"/>
  <c r="AO26" i="15" s="1"/>
  <c r="AC357" i="14"/>
  <c r="R358" i="17" s="1"/>
  <c r="AB357" i="14"/>
  <c r="Q358" i="17" s="1"/>
  <c r="J356" i="17"/>
  <c r="I359" i="14"/>
  <c r="A359" i="14"/>
  <c r="D359" i="14"/>
  <c r="C359" i="14"/>
  <c r="B359" i="14"/>
  <c r="J358" i="14"/>
  <c r="K358" i="14" s="1"/>
  <c r="AD358" i="14" s="1"/>
  <c r="S359" i="17" s="1"/>
  <c r="E358" i="14"/>
  <c r="L357" i="14"/>
  <c r="AN25" i="15"/>
  <c r="AM25" i="15"/>
  <c r="AL23" i="15"/>
  <c r="AJ26" i="15"/>
  <c r="M360" i="14"/>
  <c r="N359" i="14"/>
  <c r="C360" i="17" s="1"/>
  <c r="O359" i="14"/>
  <c r="D360" i="17" s="1"/>
  <c r="P359" i="14"/>
  <c r="E360" i="17" s="1"/>
  <c r="AK25" i="15"/>
  <c r="H357" i="17" l="1"/>
  <c r="Q357" i="14"/>
  <c r="F358" i="17" s="1"/>
  <c r="L358" i="17"/>
  <c r="F358" i="14"/>
  <c r="H358" i="14"/>
  <c r="AA357" i="14"/>
  <c r="P358" i="17" s="1"/>
  <c r="Y357" i="14"/>
  <c r="N358" i="17" s="1"/>
  <c r="J357" i="17"/>
  <c r="A358" i="17"/>
  <c r="Z357" i="14"/>
  <c r="O358" i="17" s="1"/>
  <c r="B361" i="17"/>
  <c r="G360" i="14"/>
  <c r="AO27" i="15" s="1"/>
  <c r="AC358" i="14"/>
  <c r="R359" i="17" s="1"/>
  <c r="AB358" i="14"/>
  <c r="Q359" i="17" s="1"/>
  <c r="L358" i="14"/>
  <c r="J359" i="14"/>
  <c r="K359" i="14" s="1"/>
  <c r="AD359" i="14" s="1"/>
  <c r="S360" i="17" s="1"/>
  <c r="C360" i="14"/>
  <c r="I360" i="14"/>
  <c r="B360" i="14"/>
  <c r="D360" i="14"/>
  <c r="A360" i="14"/>
  <c r="E359" i="14"/>
  <c r="AN26" i="15"/>
  <c r="AL24" i="15"/>
  <c r="AM26" i="15"/>
  <c r="M361" i="14"/>
  <c r="P360" i="14"/>
  <c r="E361" i="17" s="1"/>
  <c r="N360" i="14"/>
  <c r="C361" i="17" s="1"/>
  <c r="AJ27" i="15"/>
  <c r="O360" i="14"/>
  <c r="D361" i="17" s="1"/>
  <c r="AK26" i="15"/>
  <c r="Q358" i="14" l="1"/>
  <c r="F359" i="17" s="1"/>
  <c r="L359" i="17"/>
  <c r="F359" i="14"/>
  <c r="H359" i="14"/>
  <c r="AA358" i="14"/>
  <c r="P359" i="17" s="1"/>
  <c r="Y358" i="14"/>
  <c r="N359" i="17" s="1"/>
  <c r="A359" i="17"/>
  <c r="Z358" i="14"/>
  <c r="O359" i="17" s="1"/>
  <c r="AC359" i="14"/>
  <c r="R360" i="17" s="1"/>
  <c r="AB359" i="14"/>
  <c r="Q360" i="17" s="1"/>
  <c r="B362" i="17"/>
  <c r="G361" i="14"/>
  <c r="AO28" i="15" s="1"/>
  <c r="E360" i="14"/>
  <c r="J358" i="17"/>
  <c r="H358" i="17"/>
  <c r="L359" i="14"/>
  <c r="J360" i="14"/>
  <c r="K360" i="14" s="1"/>
  <c r="AD360" i="14" s="1"/>
  <c r="S361" i="17" s="1"/>
  <c r="D361" i="14"/>
  <c r="C361" i="14"/>
  <c r="I361" i="14"/>
  <c r="B361" i="14"/>
  <c r="A361" i="14"/>
  <c r="AN27" i="15"/>
  <c r="AL25" i="15"/>
  <c r="AM27" i="15"/>
  <c r="AK27" i="15"/>
  <c r="O361" i="14"/>
  <c r="D362" i="17" s="1"/>
  <c r="P361" i="14"/>
  <c r="E362" i="17" s="1"/>
  <c r="M362" i="14"/>
  <c r="AJ28" i="15"/>
  <c r="N361" i="14"/>
  <c r="C362" i="17" s="1"/>
  <c r="Q359" i="14" l="1"/>
  <c r="F360" i="17" s="1"/>
  <c r="L360" i="17"/>
  <c r="F360" i="14"/>
  <c r="H360" i="14"/>
  <c r="AA359" i="14"/>
  <c r="P360" i="17" s="1"/>
  <c r="Y359" i="14"/>
  <c r="N360" i="17" s="1"/>
  <c r="A360" i="17"/>
  <c r="Z359" i="14"/>
  <c r="O360" i="17" s="1"/>
  <c r="B363" i="17"/>
  <c r="G362" i="14"/>
  <c r="AO29" i="15" s="1"/>
  <c r="AC360" i="14"/>
  <c r="R361" i="17" s="1"/>
  <c r="AB360" i="14"/>
  <c r="Q361" i="17" s="1"/>
  <c r="J359" i="17"/>
  <c r="H359" i="17"/>
  <c r="L360" i="14"/>
  <c r="E361" i="14"/>
  <c r="J361" i="14"/>
  <c r="K361" i="14" s="1"/>
  <c r="AD361" i="14" s="1"/>
  <c r="S362" i="17" s="1"/>
  <c r="B362" i="14"/>
  <c r="I362" i="14"/>
  <c r="A362" i="14"/>
  <c r="D362" i="14"/>
  <c r="C362" i="14"/>
  <c r="AL26" i="15"/>
  <c r="AN28" i="15"/>
  <c r="AM28" i="15"/>
  <c r="AK28" i="15"/>
  <c r="O362" i="14"/>
  <c r="M363" i="14"/>
  <c r="AJ29" i="15"/>
  <c r="P362" i="14"/>
  <c r="E363" i="17" s="1"/>
  <c r="N362" i="14"/>
  <c r="C363" i="17" s="1"/>
  <c r="H360" i="17" l="1"/>
  <c r="Q360" i="14"/>
  <c r="F361" i="17" s="1"/>
  <c r="W360" i="14"/>
  <c r="L361" i="17" s="1"/>
  <c r="S360" i="14"/>
  <c r="U360" i="14" s="1"/>
  <c r="Y360" i="14"/>
  <c r="N361" i="17" s="1"/>
  <c r="AA360" i="14"/>
  <c r="P361" i="17" s="1"/>
  <c r="F361" i="14"/>
  <c r="H361" i="14"/>
  <c r="A361" i="17"/>
  <c r="Z360" i="14"/>
  <c r="O361" i="17" s="1"/>
  <c r="E362" i="14"/>
  <c r="AC361" i="14"/>
  <c r="R362" i="17" s="1"/>
  <c r="AB361" i="14"/>
  <c r="Q362" i="17" s="1"/>
  <c r="B364" i="17"/>
  <c r="G363" i="14"/>
  <c r="AO30" i="15" s="1"/>
  <c r="D363" i="17"/>
  <c r="L361" i="14"/>
  <c r="D363" i="14"/>
  <c r="C363" i="14"/>
  <c r="B363" i="14"/>
  <c r="A363" i="14"/>
  <c r="I363" i="14"/>
  <c r="J360" i="17"/>
  <c r="J362" i="14"/>
  <c r="K362" i="14" s="1"/>
  <c r="AD362" i="14" s="1"/>
  <c r="S363" i="17" s="1"/>
  <c r="AM29" i="15"/>
  <c r="AL27" i="15"/>
  <c r="AN29" i="15"/>
  <c r="AK29" i="15"/>
  <c r="AJ30" i="15"/>
  <c r="P363" i="14"/>
  <c r="E364" i="17" s="1"/>
  <c r="N363" i="14"/>
  <c r="C364" i="17" s="1"/>
  <c r="M364" i="14"/>
  <c r="O363" i="14"/>
  <c r="D364" i="17" s="1"/>
  <c r="AC355" i="17" l="1"/>
  <c r="AC356" i="17" s="1"/>
  <c r="Q361" i="14"/>
  <c r="F362" i="17" s="1"/>
  <c r="W361" i="14"/>
  <c r="L362" i="17" s="1"/>
  <c r="S361" i="14"/>
  <c r="U361" i="14" s="1"/>
  <c r="Y361" i="14"/>
  <c r="N362" i="17" s="1"/>
  <c r="AA361" i="14"/>
  <c r="P362" i="17" s="1"/>
  <c r="F362" i="14"/>
  <c r="H362" i="14"/>
  <c r="A362" i="17"/>
  <c r="Z361" i="14"/>
  <c r="O362" i="17" s="1"/>
  <c r="B365" i="17"/>
  <c r="G364" i="14"/>
  <c r="AO31" i="15" s="1"/>
  <c r="M365" i="14"/>
  <c r="L362" i="14"/>
  <c r="AC362" i="14"/>
  <c r="R363" i="17" s="1"/>
  <c r="AB362" i="14"/>
  <c r="Q363" i="17" s="1"/>
  <c r="J361" i="17"/>
  <c r="H361" i="17"/>
  <c r="J363" i="14"/>
  <c r="K363" i="14" s="1"/>
  <c r="AD363" i="14" s="1"/>
  <c r="S364" i="17" s="1"/>
  <c r="D364" i="14"/>
  <c r="C364" i="14"/>
  <c r="I364" i="14"/>
  <c r="B364" i="14"/>
  <c r="A364" i="14"/>
  <c r="E363" i="14"/>
  <c r="AN30" i="15"/>
  <c r="AL28" i="15"/>
  <c r="AM30" i="15"/>
  <c r="AJ31" i="15"/>
  <c r="O364" i="14"/>
  <c r="D365" i="17" s="1"/>
  <c r="P364" i="14"/>
  <c r="E365" i="17" s="1"/>
  <c r="N364" i="14"/>
  <c r="C365" i="17" s="1"/>
  <c r="AK30" i="15"/>
  <c r="AA355" i="17" l="1"/>
  <c r="Z355" i="17"/>
  <c r="B366" i="17"/>
  <c r="U365" i="14"/>
  <c r="H365" i="14"/>
  <c r="AA365" i="14"/>
  <c r="A365" i="14"/>
  <c r="Y365" i="14"/>
  <c r="W362" i="14"/>
  <c r="L363" i="17" s="1"/>
  <c r="S362" i="14"/>
  <c r="H363" i="17" s="1"/>
  <c r="AA362" i="14"/>
  <c r="P363" i="17" s="1"/>
  <c r="Y362" i="14"/>
  <c r="N363" i="17" s="1"/>
  <c r="F363" i="14"/>
  <c r="H363" i="14"/>
  <c r="Q362" i="14"/>
  <c r="F363" i="17" s="1"/>
  <c r="A363" i="17"/>
  <c r="Z362" i="14"/>
  <c r="O363" i="17" s="1"/>
  <c r="Z365" i="14"/>
  <c r="L363" i="14"/>
  <c r="AC363" i="14"/>
  <c r="R364" i="17" s="1"/>
  <c r="AB363" i="14"/>
  <c r="Q364" i="17" s="1"/>
  <c r="M368" i="14"/>
  <c r="P365" i="14"/>
  <c r="E366" i="17" s="1"/>
  <c r="J365" i="14"/>
  <c r="B365" i="14"/>
  <c r="O365" i="14"/>
  <c r="D366" i="17" s="1"/>
  <c r="F365" i="14"/>
  <c r="K365" i="14"/>
  <c r="AD365" i="14" s="1"/>
  <c r="S366" i="17" s="1"/>
  <c r="N365" i="14"/>
  <c r="C366" i="17" s="1"/>
  <c r="D365" i="14"/>
  <c r="Q365" i="14"/>
  <c r="G365" i="14"/>
  <c r="L365" i="14"/>
  <c r="C365" i="14"/>
  <c r="J362" i="17"/>
  <c r="H362" i="17"/>
  <c r="G368" i="14"/>
  <c r="AO33" i="15" s="1"/>
  <c r="I365" i="14"/>
  <c r="J364" i="14"/>
  <c r="K364" i="14" s="1"/>
  <c r="AD364" i="14" s="1"/>
  <c r="S365" i="17" s="1"/>
  <c r="E364" i="14"/>
  <c r="AL29" i="15"/>
  <c r="AN31" i="15"/>
  <c r="AM31" i="15"/>
  <c r="AK31" i="15"/>
  <c r="Q363" i="14" l="1"/>
  <c r="F364" i="17" s="1"/>
  <c r="W363" i="14"/>
  <c r="L364" i="17" s="1"/>
  <c r="S363" i="14"/>
  <c r="H364" i="17" s="1"/>
  <c r="W365" i="14"/>
  <c r="S365" i="14"/>
  <c r="U362" i="14"/>
  <c r="J363" i="17" s="1"/>
  <c r="AA363" i="14"/>
  <c r="P364" i="17" s="1"/>
  <c r="Y363" i="14"/>
  <c r="N364" i="17" s="1"/>
  <c r="F364" i="14"/>
  <c r="H364" i="14"/>
  <c r="A364" i="17"/>
  <c r="Z363" i="14"/>
  <c r="O364" i="17" s="1"/>
  <c r="L364" i="14"/>
  <c r="AC364" i="14"/>
  <c r="R365" i="17" s="1"/>
  <c r="AB364" i="14"/>
  <c r="Q365" i="17" s="1"/>
  <c r="AC365" i="14"/>
  <c r="R366" i="17" s="1"/>
  <c r="O368" i="14"/>
  <c r="D369" i="17" s="1"/>
  <c r="M369" i="14"/>
  <c r="B370" i="17" s="1"/>
  <c r="B369" i="17"/>
  <c r="P368" i="14"/>
  <c r="AN33" i="15" s="1"/>
  <c r="AJ33" i="15"/>
  <c r="N368" i="14"/>
  <c r="C369" i="17" s="1"/>
  <c r="C368" i="14"/>
  <c r="A368" i="14"/>
  <c r="D368" i="14"/>
  <c r="B368" i="14"/>
  <c r="I368" i="14"/>
  <c r="E365" i="14"/>
  <c r="AB365" i="14" s="1"/>
  <c r="Q366" i="17" s="1"/>
  <c r="A366" i="17"/>
  <c r="A369" i="14"/>
  <c r="C369" i="14"/>
  <c r="AL30" i="15"/>
  <c r="O369" i="14"/>
  <c r="D370" i="17" s="1"/>
  <c r="M370" i="14"/>
  <c r="AJ34" i="15"/>
  <c r="AM33" i="15" l="1"/>
  <c r="B369" i="14"/>
  <c r="P369" i="14"/>
  <c r="E370" i="17" s="1"/>
  <c r="I369" i="14"/>
  <c r="N369" i="14"/>
  <c r="C370" i="17" s="1"/>
  <c r="D369" i="14"/>
  <c r="U363" i="14"/>
  <c r="J364" i="17" s="1"/>
  <c r="Q364" i="14"/>
  <c r="F365" i="17" s="1"/>
  <c r="W364" i="14"/>
  <c r="L365" i="17" s="1"/>
  <c r="S364" i="14"/>
  <c r="H365" i="17" s="1"/>
  <c r="Y364" i="14"/>
  <c r="N365" i="17" s="1"/>
  <c r="AA364" i="14"/>
  <c r="P365" i="17" s="1"/>
  <c r="A365" i="17"/>
  <c r="Z364" i="14"/>
  <c r="O365" i="17" s="1"/>
  <c r="G369" i="14"/>
  <c r="AO34" i="15" s="1"/>
  <c r="B371" i="17"/>
  <c r="G370" i="14"/>
  <c r="AO35" i="15" s="1"/>
  <c r="AK33" i="15"/>
  <c r="E369" i="17"/>
  <c r="J368" i="14"/>
  <c r="K368" i="14" s="1"/>
  <c r="AD368" i="14" s="1"/>
  <c r="S369" i="17" s="1"/>
  <c r="E368" i="14"/>
  <c r="O366" i="17"/>
  <c r="P366" i="17"/>
  <c r="N366" i="17"/>
  <c r="L366" i="17"/>
  <c r="F366" i="17"/>
  <c r="F367" i="17" s="1"/>
  <c r="H366" i="17"/>
  <c r="E369" i="14"/>
  <c r="J369" i="14"/>
  <c r="I370" i="14"/>
  <c r="B370" i="14"/>
  <c r="A370" i="14"/>
  <c r="C370" i="14"/>
  <c r="D370" i="14"/>
  <c r="AN34" i="15"/>
  <c r="AL31" i="15"/>
  <c r="AM34" i="15"/>
  <c r="O370" i="14"/>
  <c r="P370" i="14"/>
  <c r="E371" i="17" s="1"/>
  <c r="AJ35" i="15"/>
  <c r="N370" i="14"/>
  <c r="C371" i="17" s="1"/>
  <c r="M371" i="14"/>
  <c r="AK34" i="15" l="1"/>
  <c r="U364" i="14"/>
  <c r="J365" i="17" s="1"/>
  <c r="F368" i="14"/>
  <c r="H368" i="14"/>
  <c r="F369" i="14"/>
  <c r="H369" i="14"/>
  <c r="AC368" i="14"/>
  <c r="R369" i="17" s="1"/>
  <c r="AB368" i="14"/>
  <c r="Q369" i="17" s="1"/>
  <c r="B372" i="17"/>
  <c r="G371" i="14"/>
  <c r="AO36" i="15" s="1"/>
  <c r="L368" i="14"/>
  <c r="J366" i="17"/>
  <c r="D371" i="17"/>
  <c r="AA415" i="17"/>
  <c r="K369" i="14"/>
  <c r="AD369" i="14" s="1"/>
  <c r="S370" i="17" s="1"/>
  <c r="E370" i="14"/>
  <c r="C371" i="14"/>
  <c r="I371" i="14"/>
  <c r="B371" i="14"/>
  <c r="D371" i="14"/>
  <c r="A371" i="14"/>
  <c r="J370" i="14"/>
  <c r="AL33" i="15"/>
  <c r="AN35" i="15"/>
  <c r="AM35" i="15"/>
  <c r="AK35" i="15"/>
  <c r="P371" i="14"/>
  <c r="E372" i="17" s="1"/>
  <c r="N371" i="14"/>
  <c r="C372" i="17" s="1"/>
  <c r="M372" i="14"/>
  <c r="AJ36" i="15"/>
  <c r="O371" i="14"/>
  <c r="Q368" i="14" l="1"/>
  <c r="W368" i="14"/>
  <c r="L369" i="17" s="1"/>
  <c r="S368" i="14"/>
  <c r="U368" i="14" s="1"/>
  <c r="AA368" i="14"/>
  <c r="P369" i="17" s="1"/>
  <c r="Y368" i="14"/>
  <c r="N369" i="17" s="1"/>
  <c r="F370" i="14"/>
  <c r="H370" i="14"/>
  <c r="Z368" i="14"/>
  <c r="O369" i="17" s="1"/>
  <c r="AC369" i="14"/>
  <c r="R370" i="17" s="1"/>
  <c r="AB369" i="14"/>
  <c r="Q370" i="17" s="1"/>
  <c r="B373" i="17"/>
  <c r="G372" i="14"/>
  <c r="AO37" i="15" s="1"/>
  <c r="L369" i="14"/>
  <c r="Y369" i="14" s="1"/>
  <c r="A369" i="17"/>
  <c r="F369" i="17"/>
  <c r="D372" i="17"/>
  <c r="K370" i="14"/>
  <c r="AD370" i="14" s="1"/>
  <c r="S371" i="17" s="1"/>
  <c r="J371" i="14"/>
  <c r="E371" i="14"/>
  <c r="D372" i="14"/>
  <c r="C372" i="14"/>
  <c r="I372" i="14"/>
  <c r="B372" i="14"/>
  <c r="A372" i="14"/>
  <c r="AM36" i="15"/>
  <c r="AN36" i="15"/>
  <c r="AK36" i="15"/>
  <c r="O372" i="14"/>
  <c r="D373" i="17" s="1"/>
  <c r="N372" i="14"/>
  <c r="C373" i="17" s="1"/>
  <c r="P372" i="14"/>
  <c r="E373" i="17" s="1"/>
  <c r="AJ37" i="15"/>
  <c r="M373" i="14"/>
  <c r="AL34" i="15" l="1"/>
  <c r="W369" i="14"/>
  <c r="L370" i="17" s="1"/>
  <c r="S369" i="14"/>
  <c r="U369" i="14" s="1"/>
  <c r="AA369" i="14"/>
  <c r="P370" i="17" s="1"/>
  <c r="F371" i="14"/>
  <c r="H371" i="14"/>
  <c r="Z369" i="14"/>
  <c r="O370" i="17" s="1"/>
  <c r="Q369" i="14"/>
  <c r="F370" i="17" s="1"/>
  <c r="AC370" i="14"/>
  <c r="R371" i="17" s="1"/>
  <c r="AB370" i="14"/>
  <c r="Q371" i="17" s="1"/>
  <c r="B374" i="17"/>
  <c r="G373" i="14"/>
  <c r="AO38" i="15" s="1"/>
  <c r="L370" i="14"/>
  <c r="H369" i="17"/>
  <c r="A370" i="17"/>
  <c r="N370" i="17"/>
  <c r="AB415" i="17"/>
  <c r="E372" i="14"/>
  <c r="K371" i="14"/>
  <c r="AD371" i="14" s="1"/>
  <c r="S372" i="17" s="1"/>
  <c r="A373" i="14"/>
  <c r="D373" i="14"/>
  <c r="C373" i="14"/>
  <c r="I373" i="14"/>
  <c r="B373" i="14"/>
  <c r="J372" i="14"/>
  <c r="AN37" i="15"/>
  <c r="AM37" i="15"/>
  <c r="P373" i="14"/>
  <c r="E374" i="17" s="1"/>
  <c r="O373" i="14"/>
  <c r="M374" i="14"/>
  <c r="N373" i="14"/>
  <c r="C374" i="17" s="1"/>
  <c r="AJ38" i="15"/>
  <c r="AK37" i="15"/>
  <c r="H370" i="17" l="1"/>
  <c r="Q370" i="14"/>
  <c r="F371" i="17" s="1"/>
  <c r="W370" i="14"/>
  <c r="L371" i="17" s="1"/>
  <c r="U370" i="14"/>
  <c r="J371" i="17" s="1"/>
  <c r="S370" i="14"/>
  <c r="H371" i="17" s="1"/>
  <c r="AA370" i="14"/>
  <c r="P371" i="17" s="1"/>
  <c r="Y370" i="14"/>
  <c r="N371" i="17" s="1"/>
  <c r="F372" i="14"/>
  <c r="H372" i="14"/>
  <c r="J369" i="17"/>
  <c r="AL35" i="15"/>
  <c r="Z370" i="14"/>
  <c r="O371" i="17" s="1"/>
  <c r="AC371" i="14"/>
  <c r="R372" i="17" s="1"/>
  <c r="AB371" i="14"/>
  <c r="Q372" i="17" s="1"/>
  <c r="J370" i="17"/>
  <c r="B375" i="17"/>
  <c r="G374" i="14"/>
  <c r="AO39" i="15" s="1"/>
  <c r="L371" i="14"/>
  <c r="A371" i="17"/>
  <c r="D374" i="17"/>
  <c r="AC415" i="17"/>
  <c r="K372" i="14"/>
  <c r="AD372" i="14" s="1"/>
  <c r="S373" i="17" s="1"/>
  <c r="E373" i="14"/>
  <c r="J373" i="14"/>
  <c r="I374" i="14"/>
  <c r="B374" i="14"/>
  <c r="A374" i="14"/>
  <c r="C374" i="14"/>
  <c r="D374" i="14"/>
  <c r="AM38" i="15"/>
  <c r="AN38" i="15"/>
  <c r="AK38" i="15"/>
  <c r="P374" i="14"/>
  <c r="AJ39" i="15"/>
  <c r="M375" i="14"/>
  <c r="N374" i="14"/>
  <c r="C375" i="17" s="1"/>
  <c r="O374" i="14"/>
  <c r="E375" i="17" l="1"/>
  <c r="AN39" i="15"/>
  <c r="W371" i="14"/>
  <c r="L372" i="17" s="1"/>
  <c r="S371" i="14"/>
  <c r="U371" i="14" s="1"/>
  <c r="AA371" i="14"/>
  <c r="P372" i="17" s="1"/>
  <c r="AL36" i="15"/>
  <c r="Y371" i="14"/>
  <c r="N372" i="17" s="1"/>
  <c r="F373" i="14"/>
  <c r="H373" i="14"/>
  <c r="Z371" i="14"/>
  <c r="O372" i="17" s="1"/>
  <c r="Q371" i="14"/>
  <c r="F372" i="17" s="1"/>
  <c r="AC372" i="14"/>
  <c r="R373" i="17" s="1"/>
  <c r="AB372" i="14"/>
  <c r="Q373" i="17" s="1"/>
  <c r="B376" i="17"/>
  <c r="G375" i="14"/>
  <c r="AO40" i="15" s="1"/>
  <c r="L372" i="14"/>
  <c r="A372" i="17"/>
  <c r="D375" i="17"/>
  <c r="K373" i="14"/>
  <c r="AD373" i="14" s="1"/>
  <c r="S374" i="17" s="1"/>
  <c r="E374" i="14"/>
  <c r="J374" i="14"/>
  <c r="C375" i="14"/>
  <c r="I375" i="14"/>
  <c r="B375" i="14"/>
  <c r="D375" i="14"/>
  <c r="A375" i="14"/>
  <c r="AM39" i="15"/>
  <c r="AK39" i="15"/>
  <c r="AJ40" i="15"/>
  <c r="P375" i="14"/>
  <c r="M376" i="14"/>
  <c r="N375" i="14"/>
  <c r="C376" i="17" s="1"/>
  <c r="O375" i="14"/>
  <c r="D376" i="17" s="1"/>
  <c r="E376" i="17" l="1"/>
  <c r="AN40" i="15"/>
  <c r="AL37" i="15"/>
  <c r="W372" i="14"/>
  <c r="L373" i="17" s="1"/>
  <c r="S372" i="14"/>
  <c r="U372" i="14" s="1"/>
  <c r="AA372" i="14"/>
  <c r="P373" i="17" s="1"/>
  <c r="Y372" i="14"/>
  <c r="N373" i="17" s="1"/>
  <c r="F374" i="14"/>
  <c r="H374" i="14"/>
  <c r="Z372" i="14"/>
  <c r="O373" i="17" s="1"/>
  <c r="Q372" i="14"/>
  <c r="F373" i="17" s="1"/>
  <c r="AC373" i="14"/>
  <c r="R374" i="17" s="1"/>
  <c r="AB373" i="14"/>
  <c r="Q374" i="17" s="1"/>
  <c r="B377" i="17"/>
  <c r="G376" i="14"/>
  <c r="AO41" i="15" s="1"/>
  <c r="H372" i="17"/>
  <c r="L373" i="14"/>
  <c r="Y373" i="14" s="1"/>
  <c r="A373" i="17"/>
  <c r="K374" i="14"/>
  <c r="AD374" i="14" s="1"/>
  <c r="S375" i="17" s="1"/>
  <c r="J375" i="14"/>
  <c r="D376" i="14"/>
  <c r="C376" i="14"/>
  <c r="I376" i="14"/>
  <c r="B376" i="14"/>
  <c r="A376" i="14"/>
  <c r="E375" i="14"/>
  <c r="AM40" i="15"/>
  <c r="AK40" i="15"/>
  <c r="N376" i="14"/>
  <c r="C377" i="17" s="1"/>
  <c r="AJ41" i="15"/>
  <c r="P376" i="14"/>
  <c r="M377" i="14"/>
  <c r="O376" i="14"/>
  <c r="D377" i="17" s="1"/>
  <c r="E377" i="17" l="1"/>
  <c r="AN41" i="15"/>
  <c r="AL38" i="15"/>
  <c r="W373" i="14"/>
  <c r="L374" i="17" s="1"/>
  <c r="S373" i="14"/>
  <c r="U373" i="14" s="1"/>
  <c r="AA373" i="14"/>
  <c r="P374" i="17" s="1"/>
  <c r="F375" i="14"/>
  <c r="H375" i="14"/>
  <c r="J372" i="17"/>
  <c r="Z373" i="14"/>
  <c r="O374" i="17" s="1"/>
  <c r="Q373" i="14"/>
  <c r="F374" i="17" s="1"/>
  <c r="L374" i="14"/>
  <c r="AL39" i="15" s="1"/>
  <c r="AC374" i="14"/>
  <c r="R375" i="17" s="1"/>
  <c r="AB374" i="14"/>
  <c r="Q375" i="17" s="1"/>
  <c r="B378" i="17"/>
  <c r="G377" i="14"/>
  <c r="AO42" i="15" s="1"/>
  <c r="A374" i="17"/>
  <c r="N374" i="17"/>
  <c r="H373" i="17"/>
  <c r="J373" i="17"/>
  <c r="K375" i="14"/>
  <c r="AD375" i="14" s="1"/>
  <c r="S376" i="17" s="1"/>
  <c r="J376" i="14"/>
  <c r="A377" i="14"/>
  <c r="D377" i="14"/>
  <c r="I377" i="14"/>
  <c r="C377" i="14"/>
  <c r="B377" i="14"/>
  <c r="E376" i="14"/>
  <c r="AM41" i="15"/>
  <c r="AK41" i="15"/>
  <c r="N377" i="14"/>
  <c r="C378" i="17" s="1"/>
  <c r="AJ42" i="15"/>
  <c r="P377" i="14"/>
  <c r="E378" i="17" s="1"/>
  <c r="O377" i="14"/>
  <c r="D378" i="17" s="1"/>
  <c r="M378" i="14"/>
  <c r="H374" i="17" l="1"/>
  <c r="W374" i="14"/>
  <c r="L375" i="17" s="1"/>
  <c r="S374" i="14"/>
  <c r="U374" i="14" s="1"/>
  <c r="AA374" i="14"/>
  <c r="P375" i="17" s="1"/>
  <c r="Y374" i="14"/>
  <c r="N375" i="17" s="1"/>
  <c r="F376" i="14"/>
  <c r="H376" i="14"/>
  <c r="Q374" i="14"/>
  <c r="F375" i="17" s="1"/>
  <c r="A375" i="17"/>
  <c r="Z374" i="14"/>
  <c r="O375" i="17" s="1"/>
  <c r="AC375" i="14"/>
  <c r="R376" i="17" s="1"/>
  <c r="AB375" i="14"/>
  <c r="Q376" i="17" s="1"/>
  <c r="B379" i="17"/>
  <c r="G378" i="14"/>
  <c r="AO43" i="15" s="1"/>
  <c r="L375" i="14"/>
  <c r="K376" i="14"/>
  <c r="AD376" i="14" s="1"/>
  <c r="S377" i="17" s="1"/>
  <c r="E377" i="14"/>
  <c r="J377" i="14"/>
  <c r="I378" i="14"/>
  <c r="B378" i="14"/>
  <c r="A378" i="14"/>
  <c r="D378" i="14"/>
  <c r="C378" i="14"/>
  <c r="AM42" i="15"/>
  <c r="AN42" i="15"/>
  <c r="M379" i="14"/>
  <c r="O378" i="14"/>
  <c r="D379" i="17" s="1"/>
  <c r="P378" i="14"/>
  <c r="E379" i="17" s="1"/>
  <c r="AJ43" i="15"/>
  <c r="N378" i="14"/>
  <c r="C379" i="17" s="1"/>
  <c r="AK42" i="15"/>
  <c r="H375" i="17" l="1"/>
  <c r="AL40" i="15"/>
  <c r="W375" i="14"/>
  <c r="L376" i="17" s="1"/>
  <c r="S375" i="14"/>
  <c r="U375" i="14" s="1"/>
  <c r="AA375" i="14"/>
  <c r="P376" i="17" s="1"/>
  <c r="Y375" i="14"/>
  <c r="N376" i="17" s="1"/>
  <c r="F377" i="14"/>
  <c r="H377" i="14"/>
  <c r="J374" i="17"/>
  <c r="Z375" i="14"/>
  <c r="O376" i="17" s="1"/>
  <c r="Q375" i="14"/>
  <c r="F376" i="17" s="1"/>
  <c r="J375" i="17"/>
  <c r="L376" i="14"/>
  <c r="AL41" i="15" s="1"/>
  <c r="AC376" i="14"/>
  <c r="R377" i="17" s="1"/>
  <c r="AB376" i="14"/>
  <c r="Q377" i="17" s="1"/>
  <c r="B380" i="17"/>
  <c r="G379" i="14"/>
  <c r="AO44" i="15" s="1"/>
  <c r="A376" i="17"/>
  <c r="K377" i="14"/>
  <c r="AD377" i="14" s="1"/>
  <c r="S378" i="17" s="1"/>
  <c r="E378" i="14"/>
  <c r="C379" i="14"/>
  <c r="I379" i="14"/>
  <c r="B379" i="14"/>
  <c r="D379" i="14"/>
  <c r="A379" i="14"/>
  <c r="J378" i="14"/>
  <c r="AN43" i="15"/>
  <c r="AM43" i="15"/>
  <c r="AK43" i="15"/>
  <c r="O379" i="14"/>
  <c r="D380" i="17" s="1"/>
  <c r="AJ44" i="15"/>
  <c r="P379" i="14"/>
  <c r="E380" i="17" s="1"/>
  <c r="M380" i="14"/>
  <c r="N379" i="14"/>
  <c r="C380" i="17" s="1"/>
  <c r="H376" i="17" l="1"/>
  <c r="W376" i="14"/>
  <c r="L377" i="17" s="1"/>
  <c r="S376" i="14"/>
  <c r="U376" i="14" s="1"/>
  <c r="J377" i="17" s="1"/>
  <c r="AA376" i="14"/>
  <c r="P377" i="17" s="1"/>
  <c r="Y376" i="14"/>
  <c r="N377" i="17" s="1"/>
  <c r="F378" i="14"/>
  <c r="H378" i="14"/>
  <c r="Q376" i="14"/>
  <c r="F377" i="17" s="1"/>
  <c r="A377" i="17"/>
  <c r="Z376" i="14"/>
  <c r="O377" i="17" s="1"/>
  <c r="AC377" i="14"/>
  <c r="R378" i="17" s="1"/>
  <c r="AB377" i="14"/>
  <c r="Q378" i="17" s="1"/>
  <c r="L377" i="14"/>
  <c r="AL42" i="15" s="1"/>
  <c r="K378" i="14"/>
  <c r="AD378" i="14" s="1"/>
  <c r="S379" i="17" s="1"/>
  <c r="B381" i="17"/>
  <c r="G380" i="14"/>
  <c r="AO45" i="15" s="1"/>
  <c r="J379" i="14"/>
  <c r="E379" i="14"/>
  <c r="D380" i="14"/>
  <c r="C380" i="14"/>
  <c r="I380" i="14"/>
  <c r="B380" i="14"/>
  <c r="A380" i="14"/>
  <c r="AM44" i="15"/>
  <c r="AN44" i="15"/>
  <c r="AK44" i="15"/>
  <c r="O380" i="14"/>
  <c r="D381" i="17" s="1"/>
  <c r="AJ45" i="15"/>
  <c r="M381" i="14"/>
  <c r="N380" i="14"/>
  <c r="C381" i="17" s="1"/>
  <c r="P380" i="14"/>
  <c r="E381" i="17" s="1"/>
  <c r="K379" i="14" l="1"/>
  <c r="AD379" i="14" s="1"/>
  <c r="S380" i="17" s="1"/>
  <c r="Q377" i="14"/>
  <c r="F378" i="17" s="1"/>
  <c r="W377" i="14"/>
  <c r="L378" i="17" s="1"/>
  <c r="S377" i="14"/>
  <c r="H378" i="17" s="1"/>
  <c r="AA377" i="14"/>
  <c r="P378" i="17" s="1"/>
  <c r="Y377" i="14"/>
  <c r="N378" i="17" s="1"/>
  <c r="F379" i="14"/>
  <c r="H379" i="14"/>
  <c r="J376" i="17"/>
  <c r="A378" i="17"/>
  <c r="Z377" i="14"/>
  <c r="O378" i="17" s="1"/>
  <c r="H377" i="17"/>
  <c r="AC378" i="14"/>
  <c r="R379" i="17" s="1"/>
  <c r="AB378" i="14"/>
  <c r="Q379" i="17" s="1"/>
  <c r="L378" i="14"/>
  <c r="B382" i="17"/>
  <c r="G381" i="14"/>
  <c r="AO46" i="15" s="1"/>
  <c r="A381" i="14"/>
  <c r="D381" i="14"/>
  <c r="I381" i="14"/>
  <c r="C381" i="14"/>
  <c r="B381" i="14"/>
  <c r="J380" i="14"/>
  <c r="K380" i="14" s="1"/>
  <c r="AD380" i="14" s="1"/>
  <c r="S381" i="17" s="1"/>
  <c r="E380" i="14"/>
  <c r="AN45" i="15"/>
  <c r="AM45" i="15"/>
  <c r="P381" i="14"/>
  <c r="E382" i="17" s="1"/>
  <c r="AJ46" i="15"/>
  <c r="N381" i="14"/>
  <c r="C382" i="17" s="1"/>
  <c r="M382" i="14"/>
  <c r="O381" i="14"/>
  <c r="AK45" i="15"/>
  <c r="D382" i="17" l="1"/>
  <c r="AM46" i="15"/>
  <c r="U377" i="14"/>
  <c r="J378" i="17" s="1"/>
  <c r="AB379" i="14"/>
  <c r="Q380" i="17" s="1"/>
  <c r="L379" i="14"/>
  <c r="S379" i="14" s="1"/>
  <c r="U379" i="14" s="1"/>
  <c r="J380" i="17" s="1"/>
  <c r="AC379" i="14"/>
  <c r="R380" i="17" s="1"/>
  <c r="Q378" i="14"/>
  <c r="F379" i="17" s="1"/>
  <c r="W378" i="14"/>
  <c r="L379" i="17" s="1"/>
  <c r="S378" i="14"/>
  <c r="U378" i="14" s="1"/>
  <c r="AA378" i="14"/>
  <c r="P379" i="17" s="1"/>
  <c r="AL43" i="15"/>
  <c r="Y378" i="14"/>
  <c r="N379" i="17" s="1"/>
  <c r="W379" i="14"/>
  <c r="L380" i="17" s="1"/>
  <c r="F380" i="14"/>
  <c r="H380" i="14"/>
  <c r="A379" i="17"/>
  <c r="Z378" i="14"/>
  <c r="O379" i="17" s="1"/>
  <c r="AC380" i="14"/>
  <c r="R381" i="17" s="1"/>
  <c r="AB380" i="14"/>
  <c r="Q381" i="17" s="1"/>
  <c r="B383" i="17"/>
  <c r="G382" i="14"/>
  <c r="AO47" i="15" s="1"/>
  <c r="L380" i="14"/>
  <c r="J381" i="14"/>
  <c r="K381" i="14" s="1"/>
  <c r="AD381" i="14" s="1"/>
  <c r="S382" i="17" s="1"/>
  <c r="I382" i="14"/>
  <c r="B382" i="14"/>
  <c r="A382" i="14"/>
  <c r="D382" i="14"/>
  <c r="C382" i="14"/>
  <c r="E381" i="14"/>
  <c r="AN46" i="15"/>
  <c r="AK46" i="15"/>
  <c r="O382" i="14"/>
  <c r="P382" i="14"/>
  <c r="E383" i="17" s="1"/>
  <c r="M383" i="14"/>
  <c r="N382" i="14"/>
  <c r="C383" i="17" s="1"/>
  <c r="AJ47" i="15"/>
  <c r="D383" i="17" l="1"/>
  <c r="AM47" i="15"/>
  <c r="AL44" i="15"/>
  <c r="A380" i="17"/>
  <c r="AA379" i="14"/>
  <c r="P380" i="17" s="1"/>
  <c r="Y379" i="14"/>
  <c r="N380" i="17" s="1"/>
  <c r="Z379" i="14"/>
  <c r="O380" i="17" s="1"/>
  <c r="Q379" i="14"/>
  <c r="F380" i="17" s="1"/>
  <c r="H379" i="17"/>
  <c r="Q380" i="14"/>
  <c r="F381" i="17" s="1"/>
  <c r="W380" i="14"/>
  <c r="L381" i="17" s="1"/>
  <c r="S380" i="14"/>
  <c r="U380" i="14" s="1"/>
  <c r="AA380" i="14"/>
  <c r="P381" i="17" s="1"/>
  <c r="Y380" i="14"/>
  <c r="N381" i="17" s="1"/>
  <c r="F381" i="14"/>
  <c r="H381" i="14"/>
  <c r="A381" i="17"/>
  <c r="Z380" i="14"/>
  <c r="O381" i="17" s="1"/>
  <c r="H380" i="17"/>
  <c r="AC381" i="14"/>
  <c r="R382" i="17" s="1"/>
  <c r="AB381" i="14"/>
  <c r="Q382" i="17" s="1"/>
  <c r="B384" i="17"/>
  <c r="G383" i="14"/>
  <c r="AO48" i="15" s="1"/>
  <c r="E382" i="14"/>
  <c r="L381" i="14"/>
  <c r="J382" i="14"/>
  <c r="K382" i="14" s="1"/>
  <c r="AD382" i="14" s="1"/>
  <c r="S383" i="17" s="1"/>
  <c r="C383" i="14"/>
  <c r="I383" i="14"/>
  <c r="B383" i="14"/>
  <c r="A383" i="14"/>
  <c r="D383" i="14"/>
  <c r="AN47" i="15"/>
  <c r="AL45" i="15"/>
  <c r="O383" i="14"/>
  <c r="M384" i="14"/>
  <c r="P383" i="14"/>
  <c r="E384" i="17" s="1"/>
  <c r="AJ48" i="15"/>
  <c r="N383" i="14"/>
  <c r="C384" i="17" s="1"/>
  <c r="AK47" i="15"/>
  <c r="D384" i="17" l="1"/>
  <c r="AM48" i="15"/>
  <c r="Y381" i="14"/>
  <c r="N382" i="17" s="1"/>
  <c r="Q381" i="14"/>
  <c r="F382" i="17" s="1"/>
  <c r="W381" i="14"/>
  <c r="L382" i="17" s="1"/>
  <c r="S381" i="14"/>
  <c r="U381" i="14" s="1"/>
  <c r="AA381" i="14"/>
  <c r="P382" i="17" s="1"/>
  <c r="F382" i="14"/>
  <c r="H382" i="14"/>
  <c r="J379" i="17"/>
  <c r="A382" i="17"/>
  <c r="Z381" i="14"/>
  <c r="O382" i="17" s="1"/>
  <c r="L382" i="14"/>
  <c r="AC382" i="14"/>
  <c r="R383" i="17" s="1"/>
  <c r="AB382" i="14"/>
  <c r="Q383" i="17" s="1"/>
  <c r="B385" i="17"/>
  <c r="G384" i="14"/>
  <c r="AO49" i="15" s="1"/>
  <c r="J381" i="17"/>
  <c r="H381" i="17"/>
  <c r="E383" i="14"/>
  <c r="J383" i="14"/>
  <c r="K383" i="14" s="1"/>
  <c r="AD383" i="14" s="1"/>
  <c r="S384" i="17" s="1"/>
  <c r="D384" i="14"/>
  <c r="C384" i="14"/>
  <c r="A384" i="14"/>
  <c r="I384" i="14"/>
  <c r="B384" i="14"/>
  <c r="AN48" i="15"/>
  <c r="AL46" i="15"/>
  <c r="AK48" i="15"/>
  <c r="M385" i="14"/>
  <c r="P384" i="14"/>
  <c r="E385" i="17" s="1"/>
  <c r="N384" i="14"/>
  <c r="C385" i="17" s="1"/>
  <c r="AJ49" i="15"/>
  <c r="O384" i="14"/>
  <c r="D385" i="17" l="1"/>
  <c r="AM49" i="15"/>
  <c r="Q382" i="14"/>
  <c r="F383" i="17" s="1"/>
  <c r="W382" i="14"/>
  <c r="L383" i="17" s="1"/>
  <c r="S382" i="14"/>
  <c r="H383" i="17" s="1"/>
  <c r="AA382" i="14"/>
  <c r="P383" i="17" s="1"/>
  <c r="Y382" i="14"/>
  <c r="N383" i="17" s="1"/>
  <c r="F383" i="14"/>
  <c r="H383" i="14"/>
  <c r="Z382" i="14"/>
  <c r="O383" i="17" s="1"/>
  <c r="A383" i="17"/>
  <c r="AC383" i="14"/>
  <c r="R384" i="17" s="1"/>
  <c r="AB383" i="14"/>
  <c r="Q384" i="17" s="1"/>
  <c r="B386" i="17"/>
  <c r="G385" i="14"/>
  <c r="AO50" i="15" s="1"/>
  <c r="J382" i="17"/>
  <c r="H382" i="17"/>
  <c r="L383" i="14"/>
  <c r="A385" i="14"/>
  <c r="D385" i="14"/>
  <c r="B385" i="14"/>
  <c r="C385" i="14"/>
  <c r="I385" i="14"/>
  <c r="J384" i="14"/>
  <c r="K384" i="14" s="1"/>
  <c r="AD384" i="14" s="1"/>
  <c r="S385" i="17" s="1"/>
  <c r="E384" i="14"/>
  <c r="AL47" i="15"/>
  <c r="AN49" i="15"/>
  <c r="AK49" i="15"/>
  <c r="AJ50" i="15"/>
  <c r="N385" i="14"/>
  <c r="C386" i="17" s="1"/>
  <c r="O385" i="14"/>
  <c r="M386" i="14"/>
  <c r="P385" i="14"/>
  <c r="E386" i="17" s="1"/>
  <c r="D386" i="17" l="1"/>
  <c r="AM50" i="15"/>
  <c r="Q383" i="14"/>
  <c r="F384" i="17" s="1"/>
  <c r="W383" i="14"/>
  <c r="L384" i="17" s="1"/>
  <c r="S383" i="14"/>
  <c r="U383" i="14" s="1"/>
  <c r="U382" i="14"/>
  <c r="J383" i="17" s="1"/>
  <c r="Y383" i="14"/>
  <c r="N384" i="17" s="1"/>
  <c r="AA383" i="14"/>
  <c r="P384" i="17" s="1"/>
  <c r="F384" i="14"/>
  <c r="H384" i="14"/>
  <c r="A384" i="17"/>
  <c r="Z383" i="14"/>
  <c r="O384" i="17" s="1"/>
  <c r="L384" i="14"/>
  <c r="AC384" i="14"/>
  <c r="R385" i="17" s="1"/>
  <c r="AB384" i="14"/>
  <c r="Q385" i="17" s="1"/>
  <c r="B387" i="17"/>
  <c r="G386" i="14"/>
  <c r="AO51" i="15" s="1"/>
  <c r="I386" i="14"/>
  <c r="B386" i="14"/>
  <c r="A386" i="14"/>
  <c r="C386" i="14"/>
  <c r="D386" i="14"/>
  <c r="J385" i="14"/>
  <c r="K385" i="14" s="1"/>
  <c r="AD385" i="14" s="1"/>
  <c r="S386" i="17" s="1"/>
  <c r="E385" i="14"/>
  <c r="AN50" i="15"/>
  <c r="AL48" i="15"/>
  <c r="N386" i="14"/>
  <c r="C387" i="17" s="1"/>
  <c r="O386" i="14"/>
  <c r="AJ51" i="15"/>
  <c r="M387" i="14"/>
  <c r="P386" i="14"/>
  <c r="E387" i="17" s="1"/>
  <c r="AK50" i="15"/>
  <c r="D387" i="17" l="1"/>
  <c r="AM51" i="15"/>
  <c r="W384" i="14"/>
  <c r="L385" i="17" s="1"/>
  <c r="S384" i="14"/>
  <c r="H385" i="17" s="1"/>
  <c r="AA384" i="14"/>
  <c r="P385" i="17" s="1"/>
  <c r="Y384" i="14"/>
  <c r="N385" i="17" s="1"/>
  <c r="F385" i="14"/>
  <c r="H385" i="14"/>
  <c r="Q384" i="14"/>
  <c r="F385" i="17" s="1"/>
  <c r="A385" i="17"/>
  <c r="Z384" i="14"/>
  <c r="O385" i="17" s="1"/>
  <c r="AC385" i="14"/>
  <c r="R386" i="17" s="1"/>
  <c r="AB385" i="14"/>
  <c r="Q386" i="17" s="1"/>
  <c r="B388" i="17"/>
  <c r="G387" i="14"/>
  <c r="AO52" i="15" s="1"/>
  <c r="J384" i="17"/>
  <c r="H384" i="17"/>
  <c r="L385" i="14"/>
  <c r="C387" i="14"/>
  <c r="I387" i="14"/>
  <c r="B387" i="14"/>
  <c r="D387" i="14"/>
  <c r="A387" i="14"/>
  <c r="J386" i="14"/>
  <c r="K386" i="14" s="1"/>
  <c r="AD386" i="14" s="1"/>
  <c r="S387" i="17" s="1"/>
  <c r="E386" i="14"/>
  <c r="AN51" i="15"/>
  <c r="AL49" i="15"/>
  <c r="P387" i="14"/>
  <c r="E388" i="17" s="1"/>
  <c r="O387" i="14"/>
  <c r="N387" i="14"/>
  <c r="C388" i="17" s="1"/>
  <c r="M388" i="14"/>
  <c r="AJ52" i="15"/>
  <c r="AK51" i="15"/>
  <c r="D388" i="17" l="1"/>
  <c r="AM52" i="15"/>
  <c r="U384" i="14"/>
  <c r="J385" i="17" s="1"/>
  <c r="Q385" i="14"/>
  <c r="F386" i="17" s="1"/>
  <c r="W385" i="14"/>
  <c r="L386" i="17" s="1"/>
  <c r="S385" i="14"/>
  <c r="U385" i="14" s="1"/>
  <c r="F386" i="14"/>
  <c r="H386" i="14"/>
  <c r="AA385" i="14"/>
  <c r="P386" i="17" s="1"/>
  <c r="Y385" i="14"/>
  <c r="N386" i="17" s="1"/>
  <c r="A386" i="17"/>
  <c r="Z385" i="14"/>
  <c r="O386" i="17" s="1"/>
  <c r="L386" i="14"/>
  <c r="AC386" i="14"/>
  <c r="R387" i="17" s="1"/>
  <c r="AB386" i="14"/>
  <c r="Q387" i="17" s="1"/>
  <c r="B389" i="17"/>
  <c r="G388" i="14"/>
  <c r="AO53" i="15" s="1"/>
  <c r="D388" i="14"/>
  <c r="C388" i="14"/>
  <c r="I388" i="14"/>
  <c r="B388" i="14"/>
  <c r="A388" i="14"/>
  <c r="J387" i="14"/>
  <c r="K387" i="14" s="1"/>
  <c r="AD387" i="14" s="1"/>
  <c r="S388" i="17" s="1"/>
  <c r="E387" i="14"/>
  <c r="AL50" i="15"/>
  <c r="AN52" i="15"/>
  <c r="AK52" i="15"/>
  <c r="M389" i="14"/>
  <c r="AJ53" i="15"/>
  <c r="O388" i="14"/>
  <c r="D389" i="17" s="1"/>
  <c r="P388" i="14"/>
  <c r="E389" i="17" s="1"/>
  <c r="N388" i="14"/>
  <c r="C389" i="17" s="1"/>
  <c r="H386" i="17" l="1"/>
  <c r="W386" i="14"/>
  <c r="L387" i="17" s="1"/>
  <c r="S386" i="14"/>
  <c r="U386" i="14" s="1"/>
  <c r="F387" i="14"/>
  <c r="H387" i="14"/>
  <c r="AA386" i="14"/>
  <c r="P387" i="17" s="1"/>
  <c r="Y386" i="14"/>
  <c r="N387" i="17" s="1"/>
  <c r="Q386" i="14"/>
  <c r="F387" i="17" s="1"/>
  <c r="A387" i="17"/>
  <c r="Z386" i="14"/>
  <c r="O387" i="17" s="1"/>
  <c r="AC387" i="14"/>
  <c r="R388" i="17" s="1"/>
  <c r="AB387" i="14"/>
  <c r="Q388" i="17" s="1"/>
  <c r="B390" i="17"/>
  <c r="G389" i="14"/>
  <c r="AO54" i="15" s="1"/>
  <c r="J386" i="17"/>
  <c r="E388" i="14"/>
  <c r="L387" i="14"/>
  <c r="J388" i="14"/>
  <c r="K388" i="14" s="1"/>
  <c r="AD388" i="14" s="1"/>
  <c r="S389" i="17" s="1"/>
  <c r="A389" i="14"/>
  <c r="D389" i="14"/>
  <c r="I389" i="14"/>
  <c r="C389" i="14"/>
  <c r="B389" i="14"/>
  <c r="AN53" i="15"/>
  <c r="AM53" i="15"/>
  <c r="AL51" i="15"/>
  <c r="P389" i="14"/>
  <c r="E390" i="17" s="1"/>
  <c r="M390" i="14"/>
  <c r="N389" i="14"/>
  <c r="C390" i="17" s="1"/>
  <c r="AJ54" i="15"/>
  <c r="O389" i="14"/>
  <c r="D390" i="17" s="1"/>
  <c r="AK53" i="15"/>
  <c r="H387" i="17" l="1"/>
  <c r="Q387" i="14"/>
  <c r="F388" i="17" s="1"/>
  <c r="W387" i="14"/>
  <c r="L388" i="17" s="1"/>
  <c r="S387" i="14"/>
  <c r="U387" i="14" s="1"/>
  <c r="F388" i="14"/>
  <c r="H388" i="14"/>
  <c r="Y387" i="14"/>
  <c r="N388" i="17" s="1"/>
  <c r="AA387" i="14"/>
  <c r="P388" i="17" s="1"/>
  <c r="J387" i="17"/>
  <c r="A388" i="17"/>
  <c r="Z387" i="14"/>
  <c r="O388" i="17" s="1"/>
  <c r="AC388" i="14"/>
  <c r="R389" i="17" s="1"/>
  <c r="AB388" i="14"/>
  <c r="Q389" i="17" s="1"/>
  <c r="B391" i="17"/>
  <c r="G390" i="14"/>
  <c r="AO55" i="15" s="1"/>
  <c r="L388" i="14"/>
  <c r="J389" i="14"/>
  <c r="K389" i="14" s="1"/>
  <c r="AD389" i="14" s="1"/>
  <c r="S390" i="17" s="1"/>
  <c r="I390" i="14"/>
  <c r="B390" i="14"/>
  <c r="A390" i="14"/>
  <c r="D390" i="14"/>
  <c r="C390" i="14"/>
  <c r="E389" i="14"/>
  <c r="AM54" i="15"/>
  <c r="AN54" i="15"/>
  <c r="AL52" i="15"/>
  <c r="P390" i="14"/>
  <c r="E391" i="17" s="1"/>
  <c r="N390" i="14"/>
  <c r="C391" i="17" s="1"/>
  <c r="O390" i="14"/>
  <c r="D391" i="17" s="1"/>
  <c r="AJ55" i="15"/>
  <c r="M391" i="14"/>
  <c r="AK54" i="15"/>
  <c r="Q388" i="14" l="1"/>
  <c r="F389" i="17" s="1"/>
  <c r="L389" i="17"/>
  <c r="AA388" i="14"/>
  <c r="P389" i="17" s="1"/>
  <c r="Y388" i="14"/>
  <c r="N389" i="17" s="1"/>
  <c r="F389" i="14"/>
  <c r="H389" i="14"/>
  <c r="A389" i="17"/>
  <c r="Z388" i="14"/>
  <c r="O389" i="17" s="1"/>
  <c r="AC389" i="14"/>
  <c r="R390" i="17" s="1"/>
  <c r="AB389" i="14"/>
  <c r="Q390" i="17" s="1"/>
  <c r="B392" i="17"/>
  <c r="G391" i="14"/>
  <c r="AO56" i="15" s="1"/>
  <c r="E390" i="14"/>
  <c r="J388" i="17"/>
  <c r="H388" i="17"/>
  <c r="L389" i="14"/>
  <c r="J390" i="14"/>
  <c r="K390" i="14" s="1"/>
  <c r="AD390" i="14" s="1"/>
  <c r="S391" i="17" s="1"/>
  <c r="C391" i="14"/>
  <c r="I391" i="14"/>
  <c r="B391" i="14"/>
  <c r="D391" i="14"/>
  <c r="A391" i="14"/>
  <c r="AM55" i="15"/>
  <c r="AN55" i="15"/>
  <c r="AL53" i="15"/>
  <c r="P391" i="14"/>
  <c r="E392" i="17" s="1"/>
  <c r="AJ56" i="15"/>
  <c r="O391" i="14"/>
  <c r="D392" i="17" s="1"/>
  <c r="N391" i="14"/>
  <c r="C392" i="17" s="1"/>
  <c r="M392" i="14"/>
  <c r="AK55" i="15"/>
  <c r="Q389" i="14" l="1"/>
  <c r="L390" i="17"/>
  <c r="AA389" i="14"/>
  <c r="P390" i="17" s="1"/>
  <c r="Y389" i="14"/>
  <c r="N390" i="17" s="1"/>
  <c r="F390" i="14"/>
  <c r="H390" i="14"/>
  <c r="A390" i="17"/>
  <c r="Z389" i="14"/>
  <c r="O390" i="17" s="1"/>
  <c r="L390" i="14"/>
  <c r="AC390" i="14"/>
  <c r="R391" i="17" s="1"/>
  <c r="AB390" i="14"/>
  <c r="Q391" i="17" s="1"/>
  <c r="B393" i="17"/>
  <c r="G392" i="14"/>
  <c r="AO57" i="15" s="1"/>
  <c r="J389" i="17"/>
  <c r="H389" i="17"/>
  <c r="F390" i="17"/>
  <c r="D392" i="14"/>
  <c r="C392" i="14"/>
  <c r="I392" i="14"/>
  <c r="B392" i="14"/>
  <c r="A392" i="14"/>
  <c r="E391" i="14"/>
  <c r="J391" i="14"/>
  <c r="K391" i="14" s="1"/>
  <c r="AD391" i="14" s="1"/>
  <c r="S392" i="17" s="1"/>
  <c r="AM56" i="15"/>
  <c r="AN56" i="15"/>
  <c r="AL54" i="15"/>
  <c r="N392" i="14"/>
  <c r="C393" i="17" s="1"/>
  <c r="P392" i="14"/>
  <c r="E393" i="17" s="1"/>
  <c r="M393" i="14"/>
  <c r="O392" i="14"/>
  <c r="D393" i="17" s="1"/>
  <c r="AJ57" i="15"/>
  <c r="AK56" i="15"/>
  <c r="Q390" i="14" l="1"/>
  <c r="F391" i="17" s="1"/>
  <c r="W390" i="14"/>
  <c r="L391" i="17" s="1"/>
  <c r="S390" i="14"/>
  <c r="U390" i="14" s="1"/>
  <c r="J391" i="17" s="1"/>
  <c r="AA390" i="14"/>
  <c r="P391" i="17" s="1"/>
  <c r="Y390" i="14"/>
  <c r="N391" i="17" s="1"/>
  <c r="F391" i="14"/>
  <c r="H391" i="14"/>
  <c r="A391" i="17"/>
  <c r="Z390" i="14"/>
  <c r="O391" i="17" s="1"/>
  <c r="AC391" i="14"/>
  <c r="R392" i="17" s="1"/>
  <c r="AB391" i="14"/>
  <c r="Q392" i="17" s="1"/>
  <c r="B394" i="17"/>
  <c r="G393" i="14"/>
  <c r="AO58" i="15" s="1"/>
  <c r="J390" i="17"/>
  <c r="H390" i="17"/>
  <c r="E392" i="14"/>
  <c r="L391" i="14"/>
  <c r="J392" i="14"/>
  <c r="K392" i="14" s="1"/>
  <c r="AD392" i="14" s="1"/>
  <c r="S393" i="17" s="1"/>
  <c r="A393" i="14"/>
  <c r="D393" i="14"/>
  <c r="I393" i="14"/>
  <c r="C393" i="14"/>
  <c r="B393" i="14"/>
  <c r="AN57" i="15"/>
  <c r="AM57" i="15"/>
  <c r="AL55" i="15"/>
  <c r="AK57" i="15"/>
  <c r="AJ58" i="15"/>
  <c r="O393" i="14"/>
  <c r="D394" i="17" s="1"/>
  <c r="M394" i="14"/>
  <c r="P393" i="14"/>
  <c r="E394" i="17" s="1"/>
  <c r="N393" i="14"/>
  <c r="C394" i="17" s="1"/>
  <c r="H391" i="17" l="1"/>
  <c r="Q391" i="14"/>
  <c r="F392" i="17" s="1"/>
  <c r="L392" i="17"/>
  <c r="Y391" i="14"/>
  <c r="N392" i="17" s="1"/>
  <c r="AA391" i="14"/>
  <c r="P392" i="17" s="1"/>
  <c r="F392" i="14"/>
  <c r="H392" i="14"/>
  <c r="A392" i="17"/>
  <c r="Z391" i="14"/>
  <c r="O392" i="17" s="1"/>
  <c r="AC392" i="14"/>
  <c r="R393" i="17" s="1"/>
  <c r="AB392" i="14"/>
  <c r="Q393" i="17" s="1"/>
  <c r="B395" i="17"/>
  <c r="G394" i="14"/>
  <c r="AO59" i="15" s="1"/>
  <c r="L392" i="14"/>
  <c r="I394" i="14"/>
  <c r="B394" i="14"/>
  <c r="A394" i="14"/>
  <c r="C394" i="14"/>
  <c r="D394" i="14"/>
  <c r="J393" i="14"/>
  <c r="K393" i="14" s="1"/>
  <c r="AD393" i="14" s="1"/>
  <c r="S394" i="17" s="1"/>
  <c r="E393" i="14"/>
  <c r="AL56" i="15"/>
  <c r="AN58" i="15"/>
  <c r="AM58" i="15"/>
  <c r="N394" i="14"/>
  <c r="C395" i="17" s="1"/>
  <c r="O394" i="14"/>
  <c r="D395" i="17" s="1"/>
  <c r="P394" i="14"/>
  <c r="E395" i="17" s="1"/>
  <c r="AJ59" i="15"/>
  <c r="M395" i="14"/>
  <c r="AK58" i="15"/>
  <c r="Q392" i="14" l="1"/>
  <c r="F393" i="17" s="1"/>
  <c r="L393" i="17"/>
  <c r="F393" i="14"/>
  <c r="H393" i="14"/>
  <c r="AA392" i="14"/>
  <c r="P393" i="17" s="1"/>
  <c r="Y392" i="14"/>
  <c r="N393" i="17" s="1"/>
  <c r="A393" i="17"/>
  <c r="Z392" i="14"/>
  <c r="O393" i="17" s="1"/>
  <c r="AC393" i="14"/>
  <c r="R394" i="17" s="1"/>
  <c r="AB393" i="14"/>
  <c r="Q394" i="17" s="1"/>
  <c r="B396" i="17"/>
  <c r="G395" i="14"/>
  <c r="AO60" i="15" s="1"/>
  <c r="J392" i="17"/>
  <c r="H392" i="17"/>
  <c r="L393" i="14"/>
  <c r="J394" i="14"/>
  <c r="K394" i="14" s="1"/>
  <c r="AD394" i="14" s="1"/>
  <c r="S395" i="17" s="1"/>
  <c r="C395" i="14"/>
  <c r="I395" i="14"/>
  <c r="B395" i="14"/>
  <c r="D395" i="14"/>
  <c r="A395" i="14"/>
  <c r="E394" i="14"/>
  <c r="AN59" i="15"/>
  <c r="AL57" i="15"/>
  <c r="AM59" i="15"/>
  <c r="AK59" i="15"/>
  <c r="O395" i="14"/>
  <c r="D396" i="17" s="1"/>
  <c r="P395" i="14"/>
  <c r="E396" i="17" s="1"/>
  <c r="M396" i="14"/>
  <c r="AJ60" i="15"/>
  <c r="N395" i="14"/>
  <c r="C396" i="17" s="1"/>
  <c r="H393" i="17" l="1"/>
  <c r="Q393" i="14"/>
  <c r="F394" i="17" s="1"/>
  <c r="L394" i="17"/>
  <c r="F394" i="14"/>
  <c r="H394" i="14"/>
  <c r="AA393" i="14"/>
  <c r="P394" i="17" s="1"/>
  <c r="Y393" i="14"/>
  <c r="N394" i="17" s="1"/>
  <c r="A394" i="17"/>
  <c r="Z393" i="14"/>
  <c r="O394" i="17" s="1"/>
  <c r="L394" i="14"/>
  <c r="AC394" i="14"/>
  <c r="R395" i="17" s="1"/>
  <c r="AB394" i="14"/>
  <c r="Q395" i="17" s="1"/>
  <c r="B397" i="17"/>
  <c r="G396" i="14"/>
  <c r="AO61" i="15" s="1"/>
  <c r="J393" i="17"/>
  <c r="E395" i="14"/>
  <c r="J395" i="14"/>
  <c r="K395" i="14" s="1"/>
  <c r="AD395" i="14" s="1"/>
  <c r="S396" i="17" s="1"/>
  <c r="D396" i="14"/>
  <c r="C396" i="14"/>
  <c r="I396" i="14"/>
  <c r="B396" i="14"/>
  <c r="A396" i="14"/>
  <c r="AM60" i="15"/>
  <c r="AL58" i="15"/>
  <c r="AN60" i="15"/>
  <c r="M397" i="14"/>
  <c r="N396" i="14"/>
  <c r="C397" i="17" s="1"/>
  <c r="P396" i="14"/>
  <c r="E397" i="17" s="1"/>
  <c r="O396" i="14"/>
  <c r="D397" i="17" s="1"/>
  <c r="AJ61" i="15"/>
  <c r="AK60" i="15"/>
  <c r="Q394" i="14" l="1"/>
  <c r="F395" i="17" s="1"/>
  <c r="L395" i="17"/>
  <c r="J395" i="17"/>
  <c r="AA394" i="14"/>
  <c r="P395" i="17" s="1"/>
  <c r="Y394" i="14"/>
  <c r="N395" i="17" s="1"/>
  <c r="F395" i="14"/>
  <c r="H395" i="14"/>
  <c r="A395" i="17"/>
  <c r="Z394" i="14"/>
  <c r="O395" i="17" s="1"/>
  <c r="AC395" i="14"/>
  <c r="R396" i="17" s="1"/>
  <c r="AB395" i="14"/>
  <c r="Q396" i="17" s="1"/>
  <c r="B398" i="17"/>
  <c r="G397" i="14"/>
  <c r="AO62" i="15" s="1"/>
  <c r="J394" i="17"/>
  <c r="H394" i="17"/>
  <c r="L395" i="14"/>
  <c r="J396" i="14"/>
  <c r="K396" i="14" s="1"/>
  <c r="AD396" i="14" s="1"/>
  <c r="S397" i="17" s="1"/>
  <c r="A397" i="14"/>
  <c r="D397" i="14"/>
  <c r="B397" i="14"/>
  <c r="C397" i="14"/>
  <c r="I397" i="14"/>
  <c r="E396" i="14"/>
  <c r="AN61" i="15"/>
  <c r="AM61" i="15"/>
  <c r="AL59" i="15"/>
  <c r="AK61" i="15"/>
  <c r="AJ62" i="15"/>
  <c r="P397" i="14"/>
  <c r="E398" i="17" s="1"/>
  <c r="N397" i="14"/>
  <c r="C398" i="17" s="1"/>
  <c r="M398" i="14"/>
  <c r="O397" i="14"/>
  <c r="D398" i="17" s="1"/>
  <c r="B399" i="17" l="1"/>
  <c r="G398" i="14"/>
  <c r="AO63" i="15" s="1"/>
  <c r="Q395" i="14"/>
  <c r="F396" i="17" s="1"/>
  <c r="L396" i="17"/>
  <c r="F396" i="14"/>
  <c r="H396" i="14"/>
  <c r="Y395" i="14"/>
  <c r="N396" i="17" s="1"/>
  <c r="AA395" i="14"/>
  <c r="P396" i="17" s="1"/>
  <c r="A396" i="17"/>
  <c r="Z395" i="14"/>
  <c r="O396" i="17" s="1"/>
  <c r="H395" i="17"/>
  <c r="AC396" i="14"/>
  <c r="R397" i="17" s="1"/>
  <c r="AB396" i="14"/>
  <c r="Q397" i="17" s="1"/>
  <c r="L396" i="14"/>
  <c r="J397" i="14"/>
  <c r="K397" i="14" s="1"/>
  <c r="AD397" i="14" s="1"/>
  <c r="S398" i="17" s="1"/>
  <c r="E397" i="14"/>
  <c r="I398" i="14"/>
  <c r="B398" i="14"/>
  <c r="A398" i="14"/>
  <c r="C398" i="14"/>
  <c r="D398" i="14"/>
  <c r="AN62" i="15"/>
  <c r="AL60" i="15"/>
  <c r="AM62" i="15"/>
  <c r="AK62" i="15"/>
  <c r="O398" i="14"/>
  <c r="D399" i="17" s="1"/>
  <c r="P398" i="14"/>
  <c r="E399" i="17" s="1"/>
  <c r="AJ63" i="15"/>
  <c r="N398" i="14"/>
  <c r="C399" i="17" s="1"/>
  <c r="H396" i="17" l="1"/>
  <c r="Q396" i="14"/>
  <c r="F397" i="17" s="1"/>
  <c r="L397" i="17"/>
  <c r="AA396" i="14"/>
  <c r="P397" i="17" s="1"/>
  <c r="Y396" i="14"/>
  <c r="N397" i="17" s="1"/>
  <c r="F397" i="14"/>
  <c r="H397" i="14"/>
  <c r="A397" i="17"/>
  <c r="Z396" i="14"/>
  <c r="O397" i="17" s="1"/>
  <c r="AC397" i="14"/>
  <c r="R398" i="17" s="1"/>
  <c r="AB397" i="14"/>
  <c r="Q398" i="17" s="1"/>
  <c r="L397" i="14"/>
  <c r="J396" i="17"/>
  <c r="E398" i="14"/>
  <c r="J398" i="14"/>
  <c r="K398" i="14" s="1"/>
  <c r="AD398" i="14" s="1"/>
  <c r="S399" i="17" s="1"/>
  <c r="AL61" i="15"/>
  <c r="AN63" i="15"/>
  <c r="AM63" i="15"/>
  <c r="AK63" i="15"/>
  <c r="Q397" i="14" l="1"/>
  <c r="F398" i="17" s="1"/>
  <c r="W397" i="14"/>
  <c r="L398" i="17" s="1"/>
  <c r="S397" i="14"/>
  <c r="U397" i="14" s="1"/>
  <c r="AA397" i="14"/>
  <c r="P398" i="17" s="1"/>
  <c r="Y397" i="14"/>
  <c r="N398" i="17" s="1"/>
  <c r="F398" i="14"/>
  <c r="H398" i="14"/>
  <c r="A398" i="17"/>
  <c r="Z397" i="14"/>
  <c r="O398" i="17" s="1"/>
  <c r="L398" i="14"/>
  <c r="AC398" i="14"/>
  <c r="R399" i="17" s="1"/>
  <c r="AB398" i="14"/>
  <c r="Q399" i="17" s="1"/>
  <c r="J397" i="17"/>
  <c r="H397" i="17"/>
  <c r="AL62" i="15"/>
  <c r="H398" i="17" l="1"/>
  <c r="AA398" i="14"/>
  <c r="P399" i="17" s="1"/>
  <c r="Y398" i="14"/>
  <c r="N399" i="17" s="1"/>
  <c r="Q398" i="14"/>
  <c r="A399" i="17"/>
  <c r="Z398" i="14"/>
  <c r="O399" i="17" s="1"/>
  <c r="O400" i="17" s="1"/>
  <c r="L399" i="17"/>
  <c r="S404" i="14"/>
  <c r="S421" i="14" s="1"/>
  <c r="L405" i="17"/>
  <c r="H399" i="17"/>
  <c r="AA407" i="14"/>
  <c r="AB407" i="14"/>
  <c r="W405" i="14"/>
  <c r="W422" i="14" s="1"/>
  <c r="J398" i="17"/>
  <c r="AL63" i="15"/>
  <c r="W404" i="14"/>
  <c r="L406" i="17" l="1"/>
  <c r="L423" i="17" s="1"/>
  <c r="N404" i="17"/>
  <c r="N421" i="17" s="1"/>
  <c r="N405" i="17"/>
  <c r="N422" i="17" s="1"/>
  <c r="N406" i="17"/>
  <c r="N423" i="17" s="1"/>
  <c r="Z399" i="14"/>
  <c r="P408" i="17"/>
  <c r="P406" i="17"/>
  <c r="P423" i="17" s="1"/>
  <c r="Q407" i="14"/>
  <c r="Q404" i="14"/>
  <c r="Q421" i="14" s="1"/>
  <c r="Q425" i="14" s="1"/>
  <c r="Q408" i="17"/>
  <c r="Q425" i="17" s="1"/>
  <c r="P405" i="17"/>
  <c r="P422" i="17" s="1"/>
  <c r="Q406" i="17"/>
  <c r="Q423" i="17" s="1"/>
  <c r="Q405" i="17"/>
  <c r="Q422" i="17" s="1"/>
  <c r="P404" i="17"/>
  <c r="P421" i="17" s="1"/>
  <c r="Q404" i="17"/>
  <c r="J399" i="17"/>
  <c r="U403" i="14"/>
  <c r="U420" i="14" s="1"/>
  <c r="S425" i="14"/>
  <c r="F399" i="17"/>
  <c r="F400" i="17" s="1"/>
  <c r="U421" i="14"/>
  <c r="S408" i="14"/>
  <c r="P425" i="17"/>
  <c r="P407" i="17"/>
  <c r="P424" i="17" s="1"/>
  <c r="J405" i="17"/>
  <c r="J422" i="17" s="1"/>
  <c r="J404" i="17"/>
  <c r="L422" i="17"/>
  <c r="W408" i="14"/>
  <c r="W421" i="14"/>
  <c r="W425" i="14" s="1"/>
  <c r="H406" i="17"/>
  <c r="H423" i="17" s="1"/>
  <c r="H404" i="17"/>
  <c r="H405" i="17"/>
  <c r="H422" i="17" s="1"/>
  <c r="AA406" i="14"/>
  <c r="AA423" i="14" s="1"/>
  <c r="AA424" i="14"/>
  <c r="AB406" i="14"/>
  <c r="AB424" i="14"/>
  <c r="Y404" i="14"/>
  <c r="Y421" i="14" s="1"/>
  <c r="AA403" i="14"/>
  <c r="AB404" i="14"/>
  <c r="AB421" i="14" s="1"/>
  <c r="AA405" i="14"/>
  <c r="AA422" i="14" s="1"/>
  <c r="AA404" i="14"/>
  <c r="AA421" i="14" s="1"/>
  <c r="AB403" i="14"/>
  <c r="AB405" i="14"/>
  <c r="AB422" i="14" s="1"/>
  <c r="N426" i="17" l="1"/>
  <c r="N409" i="17"/>
  <c r="L409" i="17"/>
  <c r="L426" i="17"/>
  <c r="Q407" i="17"/>
  <c r="Q424" i="17" s="1"/>
  <c r="Q421" i="17"/>
  <c r="Q408" i="14"/>
  <c r="F405" i="17"/>
  <c r="F422" i="17" s="1"/>
  <c r="AA416" i="17"/>
  <c r="AA417" i="17" s="1"/>
  <c r="F404" i="17"/>
  <c r="U425" i="14"/>
  <c r="U408" i="14"/>
  <c r="H409" i="17"/>
  <c r="H421" i="17"/>
  <c r="H426" i="17" s="1"/>
  <c r="J421" i="17"/>
  <c r="J426" i="17" s="1"/>
  <c r="J409" i="17"/>
  <c r="P409" i="17"/>
  <c r="Y425" i="14"/>
  <c r="Y408" i="14"/>
  <c r="P426" i="17"/>
  <c r="AA408" i="14"/>
  <c r="AA425" i="14"/>
  <c r="AB408" i="14"/>
  <c r="AB423" i="14"/>
  <c r="AB425" i="14" s="1"/>
  <c r="AA386" i="17" l="1"/>
  <c r="AB416" i="17" s="1"/>
  <c r="AB417" i="17" s="1"/>
  <c r="AC386" i="17"/>
  <c r="AC387" i="17" s="1"/>
  <c r="AC388" i="17" s="1"/>
  <c r="AC416" i="17" s="1"/>
  <c r="Z386" i="17"/>
  <c r="Q409" i="17"/>
  <c r="Q426" i="17"/>
  <c r="AB428" i="14"/>
  <c r="F421" i="17"/>
  <c r="F426" i="17" s="1"/>
  <c r="F409" i="17"/>
  <c r="S426" i="17" l="1"/>
  <c r="AC56" i="17"/>
  <c r="AC58" i="17" s="1"/>
  <c r="AC59" i="17" s="1"/>
  <c r="AC406" i="17" l="1"/>
  <c r="AC417" i="17" s="1"/>
  <c r="AC389" i="17"/>
  <c r="AC391" i="17" s="1"/>
  <c r="AC418" i="17" l="1"/>
  <c r="AE417" i="17"/>
</calcChain>
</file>

<file path=xl/comments1.xml><?xml version="1.0" encoding="utf-8"?>
<comments xmlns="http://schemas.openxmlformats.org/spreadsheetml/2006/main">
  <authors>
    <author>兵庫県</author>
  </authors>
  <commentList>
    <comment ref="P407" authorId="0" shapeId="0">
      <text>
        <r>
          <rPr>
            <b/>
            <sz val="9"/>
            <color indexed="81"/>
            <rFont val="MS P ゴシック"/>
            <family val="3"/>
            <charset val="128"/>
          </rPr>
          <t>▽</t>
        </r>
        <r>
          <rPr>
            <sz val="9"/>
            <color indexed="81"/>
            <rFont val="MS P ゴシック"/>
            <family val="3"/>
            <charset val="128"/>
          </rPr>
          <t xml:space="preserve">の個数も含む
</t>
        </r>
      </text>
    </comment>
  </commentList>
</comments>
</file>

<file path=xl/sharedStrings.xml><?xml version="1.0" encoding="utf-8"?>
<sst xmlns="http://schemas.openxmlformats.org/spreadsheetml/2006/main" count="1018" uniqueCount="155">
  <si>
    <t>休</t>
    <rPh sb="0" eb="1">
      <t>ヤス</t>
    </rPh>
    <phoneticPr fontId="1"/>
  </si>
  <si>
    <t>監視</t>
    <rPh sb="0" eb="2">
      <t>カンシ</t>
    </rPh>
    <phoneticPr fontId="1"/>
  </si>
  <si>
    <t/>
  </si>
  <si>
    <t>日数</t>
    <rPh sb="0" eb="2">
      <t>ニッスウ</t>
    </rPh>
    <phoneticPr fontId="1"/>
  </si>
  <si>
    <t>人数</t>
    <rPh sb="0" eb="1">
      <t>ヒト</t>
    </rPh>
    <rPh sb="1" eb="2">
      <t>カズ</t>
    </rPh>
    <phoneticPr fontId="1"/>
  </si>
  <si>
    <t>特別展</t>
    <rPh sb="0" eb="2">
      <t>トクベツ</t>
    </rPh>
    <rPh sb="2" eb="3">
      <t>テン</t>
    </rPh>
    <phoneticPr fontId="1"/>
  </si>
  <si>
    <t>テーマ展</t>
    <rPh sb="3" eb="4">
      <t>テン</t>
    </rPh>
    <phoneticPr fontId="1"/>
  </si>
  <si>
    <t>○</t>
    <phoneticPr fontId="1"/>
  </si>
  <si>
    <t>管理</t>
    <rPh sb="0" eb="2">
      <t>カンリ</t>
    </rPh>
    <phoneticPr fontId="1"/>
  </si>
  <si>
    <t>改札A</t>
    <rPh sb="0" eb="2">
      <t>カイサツ</t>
    </rPh>
    <phoneticPr fontId="1"/>
  </si>
  <si>
    <t>改札B</t>
    <rPh sb="0" eb="2">
      <t>カイサツ</t>
    </rPh>
    <phoneticPr fontId="1"/>
  </si>
  <si>
    <t>日数</t>
    <rPh sb="0" eb="1">
      <t>ヒ</t>
    </rPh>
    <rPh sb="1" eb="2">
      <t>カズ</t>
    </rPh>
    <phoneticPr fontId="1"/>
  </si>
  <si>
    <t>管理者</t>
    <rPh sb="0" eb="3">
      <t>カンリシャ</t>
    </rPh>
    <phoneticPr fontId="1"/>
  </si>
  <si>
    <t>エントA</t>
    <phoneticPr fontId="1"/>
  </si>
  <si>
    <t>エントB</t>
    <phoneticPr fontId="1"/>
  </si>
  <si>
    <t>◎</t>
    <phoneticPr fontId="1"/>
  </si>
  <si>
    <t>エントA</t>
    <phoneticPr fontId="1"/>
  </si>
  <si>
    <t>エントB</t>
    <phoneticPr fontId="1"/>
  </si>
  <si>
    <t>改札A</t>
    <phoneticPr fontId="1"/>
  </si>
  <si>
    <t>改札B</t>
    <phoneticPr fontId="1"/>
  </si>
  <si>
    <t>休日</t>
    <rPh sb="0" eb="2">
      <t>キュウジツ</t>
    </rPh>
    <phoneticPr fontId="1"/>
  </si>
  <si>
    <t>昭和の日</t>
    <rPh sb="0" eb="2">
      <t>ショウワ</t>
    </rPh>
    <rPh sb="3" eb="4">
      <t>ヒ</t>
    </rPh>
    <phoneticPr fontId="1"/>
  </si>
  <si>
    <t>憲法記念日</t>
    <rPh sb="0" eb="2">
      <t>ケンポウ</t>
    </rPh>
    <rPh sb="2" eb="5">
      <t>キネンビ</t>
    </rPh>
    <phoneticPr fontId="1"/>
  </si>
  <si>
    <t>みどりの日</t>
    <rPh sb="4" eb="5">
      <t>ヒ</t>
    </rPh>
    <phoneticPr fontId="1"/>
  </si>
  <si>
    <t>こどもの日</t>
    <rPh sb="4" eb="5">
      <t>ヒ</t>
    </rPh>
    <phoneticPr fontId="1"/>
  </si>
  <si>
    <t>海の日</t>
    <rPh sb="0" eb="1">
      <t>ウミ</t>
    </rPh>
    <rPh sb="2" eb="3">
      <t>ヒ</t>
    </rPh>
    <phoneticPr fontId="1"/>
  </si>
  <si>
    <t>敬老の日</t>
    <rPh sb="0" eb="2">
      <t>ケイロウ</t>
    </rPh>
    <rPh sb="3" eb="4">
      <t>ヒ</t>
    </rPh>
    <phoneticPr fontId="1"/>
  </si>
  <si>
    <t>秋分の日</t>
    <rPh sb="0" eb="2">
      <t>シュウブン</t>
    </rPh>
    <rPh sb="3" eb="4">
      <t>ヒ</t>
    </rPh>
    <phoneticPr fontId="1"/>
  </si>
  <si>
    <t>文化の日</t>
    <rPh sb="0" eb="2">
      <t>ブンカ</t>
    </rPh>
    <rPh sb="3" eb="4">
      <t>ヒ</t>
    </rPh>
    <phoneticPr fontId="1"/>
  </si>
  <si>
    <t>勤労感謝の日</t>
    <rPh sb="0" eb="2">
      <t>キンロウ</t>
    </rPh>
    <rPh sb="2" eb="4">
      <t>カンシャ</t>
    </rPh>
    <rPh sb="5" eb="6">
      <t>ヒ</t>
    </rPh>
    <phoneticPr fontId="1"/>
  </si>
  <si>
    <t>成人の日</t>
    <rPh sb="0" eb="2">
      <t>セイジン</t>
    </rPh>
    <rPh sb="3" eb="4">
      <t>ヒ</t>
    </rPh>
    <phoneticPr fontId="1"/>
  </si>
  <si>
    <t>建国記念の日</t>
    <rPh sb="0" eb="2">
      <t>ケンコク</t>
    </rPh>
    <rPh sb="2" eb="4">
      <t>キネン</t>
    </rPh>
    <rPh sb="5" eb="6">
      <t>ヒ</t>
    </rPh>
    <phoneticPr fontId="1"/>
  </si>
  <si>
    <t>春分の日</t>
    <rPh sb="0" eb="2">
      <t>シュンブン</t>
    </rPh>
    <rPh sb="3" eb="4">
      <t>ヒ</t>
    </rPh>
    <phoneticPr fontId="1"/>
  </si>
  <si>
    <t>閉館日</t>
    <rPh sb="0" eb="2">
      <t>ヘイカン</t>
    </rPh>
    <rPh sb="2" eb="3">
      <t>ビ</t>
    </rPh>
    <phoneticPr fontId="1"/>
  </si>
  <si>
    <t>月曜</t>
    <rPh sb="0" eb="2">
      <t>ゲツヨウ</t>
    </rPh>
    <phoneticPr fontId="1"/>
  </si>
  <si>
    <t>閉館</t>
    <rPh sb="0" eb="2">
      <t>ヘイカン</t>
    </rPh>
    <phoneticPr fontId="1"/>
  </si>
  <si>
    <t>特別展一覧</t>
    <rPh sb="0" eb="3">
      <t>トクベツテン</t>
    </rPh>
    <rPh sb="3" eb="5">
      <t>イチラン</t>
    </rPh>
    <phoneticPr fontId="1"/>
  </si>
  <si>
    <t>年月日</t>
    <rPh sb="0" eb="3">
      <t>ネンガッピ</t>
    </rPh>
    <phoneticPr fontId="1"/>
  </si>
  <si>
    <t>休日名</t>
    <rPh sb="0" eb="2">
      <t>キュウジツ</t>
    </rPh>
    <rPh sb="2" eb="3">
      <t>メイ</t>
    </rPh>
    <phoneticPr fontId="1"/>
  </si>
  <si>
    <t>開始日</t>
    <rPh sb="0" eb="3">
      <t>カイシビ</t>
    </rPh>
    <phoneticPr fontId="1"/>
  </si>
  <si>
    <t>最終日</t>
    <rPh sb="0" eb="3">
      <t>サイシュウビ</t>
    </rPh>
    <phoneticPr fontId="1"/>
  </si>
  <si>
    <t>展覧会名</t>
    <rPh sb="0" eb="3">
      <t>テンランカイ</t>
    </rPh>
    <rPh sb="3" eb="4">
      <t>メイ</t>
    </rPh>
    <phoneticPr fontId="1"/>
  </si>
  <si>
    <t>開館時間</t>
    <rPh sb="0" eb="2">
      <t>カイカン</t>
    </rPh>
    <rPh sb="2" eb="4">
      <t>ジカン</t>
    </rPh>
    <phoneticPr fontId="1"/>
  </si>
  <si>
    <t>閉館時間</t>
    <rPh sb="0" eb="2">
      <t>ヘイカン</t>
    </rPh>
    <rPh sb="2" eb="4">
      <t>ジカン</t>
    </rPh>
    <phoneticPr fontId="1"/>
  </si>
  <si>
    <t>Ｆ</t>
    <phoneticPr fontId="1"/>
  </si>
  <si>
    <t>部屋数</t>
    <rPh sb="0" eb="3">
      <t>ヘヤスウ</t>
    </rPh>
    <phoneticPr fontId="1"/>
  </si>
  <si>
    <t>●</t>
  </si>
  <si>
    <t>計</t>
    <rPh sb="0" eb="1">
      <t>ケイ</t>
    </rPh>
    <phoneticPr fontId="1"/>
  </si>
  <si>
    <t>勤務時間</t>
    <rPh sb="0" eb="2">
      <t>キンム</t>
    </rPh>
    <rPh sb="2" eb="4">
      <t>ジカン</t>
    </rPh>
    <phoneticPr fontId="1"/>
  </si>
  <si>
    <t>のべ時間</t>
    <rPh sb="2" eb="4">
      <t>ジカン</t>
    </rPh>
    <phoneticPr fontId="1"/>
  </si>
  <si>
    <t>初日</t>
    <rPh sb="0" eb="2">
      <t>ショニチ</t>
    </rPh>
    <phoneticPr fontId="1"/>
  </si>
  <si>
    <t>元日</t>
    <rPh sb="0" eb="2">
      <t>ガンジツ</t>
    </rPh>
    <phoneticPr fontId="1"/>
  </si>
  <si>
    <t>スポーツの日</t>
    <rPh sb="5" eb="6">
      <t>ヒ</t>
    </rPh>
    <phoneticPr fontId="1"/>
  </si>
  <si>
    <t>山の日</t>
    <rPh sb="0" eb="1">
      <t>ヤマ</t>
    </rPh>
    <rPh sb="2" eb="3">
      <t>ヒ</t>
    </rPh>
    <phoneticPr fontId="1"/>
  </si>
  <si>
    <t>天皇誕生日</t>
    <rPh sb="0" eb="2">
      <t>テンノウ</t>
    </rPh>
    <rPh sb="2" eb="5">
      <t>タンジョウビ</t>
    </rPh>
    <phoneticPr fontId="1"/>
  </si>
  <si>
    <t>春　特別展</t>
    <rPh sb="0" eb="1">
      <t>ハル</t>
    </rPh>
    <rPh sb="2" eb="5">
      <t>トクベツテン</t>
    </rPh>
    <phoneticPr fontId="1"/>
  </si>
  <si>
    <t>夏　特別展</t>
    <rPh sb="0" eb="1">
      <t>ナツ</t>
    </rPh>
    <rPh sb="2" eb="5">
      <t>トクベツテン</t>
    </rPh>
    <phoneticPr fontId="1"/>
  </si>
  <si>
    <t>秋　特別展</t>
    <rPh sb="0" eb="1">
      <t>アキ</t>
    </rPh>
    <rPh sb="2" eb="5">
      <t>トクベツテン</t>
    </rPh>
    <phoneticPr fontId="1"/>
  </si>
  <si>
    <t>冬　特別展</t>
    <rPh sb="0" eb="1">
      <t>フユ</t>
    </rPh>
    <rPh sb="2" eb="5">
      <t>トクベツテン</t>
    </rPh>
    <phoneticPr fontId="1"/>
  </si>
  <si>
    <t>別紙1</t>
    <rPh sb="0" eb="2">
      <t>ベッシ</t>
    </rPh>
    <phoneticPr fontId="1"/>
  </si>
  <si>
    <t>時間</t>
    <rPh sb="0" eb="2">
      <t>ジカン</t>
    </rPh>
    <phoneticPr fontId="11"/>
  </si>
  <si>
    <t>総時間数</t>
    <rPh sb="0" eb="1">
      <t>ソウ</t>
    </rPh>
    <rPh sb="1" eb="4">
      <t>ジカンスウ</t>
    </rPh>
    <phoneticPr fontId="11"/>
  </si>
  <si>
    <t>単価</t>
    <rPh sb="0" eb="2">
      <t>タンカ</t>
    </rPh>
    <phoneticPr fontId="11"/>
  </si>
  <si>
    <t>金額</t>
    <rPh sb="0" eb="2">
      <t>キンガク</t>
    </rPh>
    <phoneticPr fontId="11"/>
  </si>
  <si>
    <t>合計</t>
    <rPh sb="0" eb="2">
      <t>ゴウケイ</t>
    </rPh>
    <phoneticPr fontId="11"/>
  </si>
  <si>
    <t>税込</t>
    <rPh sb="0" eb="2">
      <t>ゼイコ</t>
    </rPh>
    <phoneticPr fontId="11"/>
  </si>
  <si>
    <t>○</t>
  </si>
  <si>
    <t>◎</t>
  </si>
  <si>
    <t>9:45-18:15</t>
  </si>
  <si>
    <t>監視</t>
    <rPh sb="0" eb="2">
      <t>カンシ</t>
    </rPh>
    <phoneticPr fontId="11"/>
  </si>
  <si>
    <t>ﾎﾟｽﾄ</t>
    <phoneticPr fontId="1"/>
  </si>
  <si>
    <t>回数</t>
    <rPh sb="0" eb="2">
      <t>カイスウ</t>
    </rPh>
    <phoneticPr fontId="11"/>
  </si>
  <si>
    <t>4月基本</t>
    <rPh sb="1" eb="2">
      <t>ガツ</t>
    </rPh>
    <rPh sb="2" eb="4">
      <t>キホン</t>
    </rPh>
    <phoneticPr fontId="11"/>
  </si>
  <si>
    <t>5月基本</t>
    <rPh sb="1" eb="2">
      <t>ガツ</t>
    </rPh>
    <rPh sb="2" eb="4">
      <t>キホン</t>
    </rPh>
    <phoneticPr fontId="11"/>
  </si>
  <si>
    <t>シフト</t>
    <phoneticPr fontId="1"/>
  </si>
  <si>
    <t>△</t>
    <phoneticPr fontId="1"/>
  </si>
  <si>
    <t>6月基本</t>
    <rPh sb="1" eb="2">
      <t>ガツ</t>
    </rPh>
    <rPh sb="2" eb="4">
      <t>キホン</t>
    </rPh>
    <phoneticPr fontId="11"/>
  </si>
  <si>
    <t>7月基本</t>
    <rPh sb="1" eb="2">
      <t>ガツ</t>
    </rPh>
    <rPh sb="2" eb="4">
      <t>キホン</t>
    </rPh>
    <phoneticPr fontId="11"/>
  </si>
  <si>
    <t>8月基本</t>
    <rPh sb="1" eb="2">
      <t>ガツ</t>
    </rPh>
    <rPh sb="2" eb="4">
      <t>キホン</t>
    </rPh>
    <phoneticPr fontId="11"/>
  </si>
  <si>
    <t>9月基本</t>
    <rPh sb="1" eb="2">
      <t>ガツ</t>
    </rPh>
    <rPh sb="2" eb="4">
      <t>キホン</t>
    </rPh>
    <phoneticPr fontId="11"/>
  </si>
  <si>
    <t>10月基本</t>
    <rPh sb="2" eb="3">
      <t>ガツ</t>
    </rPh>
    <rPh sb="3" eb="5">
      <t>キホン</t>
    </rPh>
    <phoneticPr fontId="11"/>
  </si>
  <si>
    <t>11月基本</t>
    <rPh sb="2" eb="3">
      <t>ガツ</t>
    </rPh>
    <rPh sb="3" eb="5">
      <t>キホン</t>
    </rPh>
    <phoneticPr fontId="11"/>
  </si>
  <si>
    <t>12月基本</t>
    <rPh sb="2" eb="3">
      <t>ガツ</t>
    </rPh>
    <rPh sb="3" eb="5">
      <t>キホン</t>
    </rPh>
    <phoneticPr fontId="11"/>
  </si>
  <si>
    <t>1月基本</t>
    <rPh sb="1" eb="2">
      <t>ガツ</t>
    </rPh>
    <rPh sb="2" eb="4">
      <t>キホン</t>
    </rPh>
    <phoneticPr fontId="11"/>
  </si>
  <si>
    <t>2月基本</t>
    <rPh sb="1" eb="2">
      <t>ガツ</t>
    </rPh>
    <rPh sb="2" eb="4">
      <t>キホン</t>
    </rPh>
    <phoneticPr fontId="11"/>
  </si>
  <si>
    <t>3月基本</t>
    <rPh sb="1" eb="2">
      <t>ガツ</t>
    </rPh>
    <rPh sb="2" eb="4">
      <t>キホン</t>
    </rPh>
    <phoneticPr fontId="11"/>
  </si>
  <si>
    <t>総計</t>
    <rPh sb="0" eb="2">
      <t>ソウケイ</t>
    </rPh>
    <phoneticPr fontId="1"/>
  </si>
  <si>
    <t>単位：円</t>
    <rPh sb="0" eb="2">
      <t>タンイ</t>
    </rPh>
    <rPh sb="3" eb="4">
      <t>エン</t>
    </rPh>
    <phoneticPr fontId="1"/>
  </si>
  <si>
    <t>管理</t>
  </si>
  <si>
    <t>エントA</t>
  </si>
  <si>
    <t>エントB</t>
  </si>
  <si>
    <t>改札A</t>
  </si>
  <si>
    <t>▽</t>
  </si>
  <si>
    <t>▽</t>
    <phoneticPr fontId="1"/>
  </si>
  <si>
    <t>△</t>
  </si>
  <si>
    <t>▽の場合もポスト数１をカウント</t>
    <rPh sb="2" eb="4">
      <t>バアイ</t>
    </rPh>
    <rPh sb="8" eb="9">
      <t>スウ</t>
    </rPh>
    <phoneticPr fontId="1"/>
  </si>
  <si>
    <t>振替休日</t>
    <rPh sb="0" eb="2">
      <t>フリカエ</t>
    </rPh>
    <rPh sb="2" eb="4">
      <t>キュウジツ</t>
    </rPh>
    <phoneticPr fontId="1"/>
  </si>
  <si>
    <t>基本開館時間</t>
    <rPh sb="0" eb="2">
      <t>キホン</t>
    </rPh>
    <rPh sb="2" eb="4">
      <t>カイカン</t>
    </rPh>
    <rPh sb="4" eb="6">
      <t>ジカン</t>
    </rPh>
    <phoneticPr fontId="1"/>
  </si>
  <si>
    <t>開館パターン</t>
    <rPh sb="0" eb="1">
      <t>カイ</t>
    </rPh>
    <phoneticPr fontId="1"/>
  </si>
  <si>
    <t>開館時間Ｐ</t>
    <rPh sb="0" eb="2">
      <t>カイカン</t>
    </rPh>
    <rPh sb="2" eb="4">
      <t>ジカン</t>
    </rPh>
    <phoneticPr fontId="1"/>
  </si>
  <si>
    <t>オープン時間Ｐ</t>
    <rPh sb="4" eb="6">
      <t>ジカン</t>
    </rPh>
    <phoneticPr fontId="1"/>
  </si>
  <si>
    <t>基本開館時間</t>
    <rPh sb="2" eb="4">
      <t>カイカン</t>
    </rPh>
    <rPh sb="4" eb="6">
      <t>ジカン</t>
    </rPh>
    <phoneticPr fontId="1"/>
  </si>
  <si>
    <t>別パターン
　開館時間</t>
    <rPh sb="0" eb="1">
      <t>ベツ</t>
    </rPh>
    <rPh sb="7" eb="9">
      <t>カイカン</t>
    </rPh>
    <rPh sb="9" eb="11">
      <t>ジカン</t>
    </rPh>
    <phoneticPr fontId="1"/>
  </si>
  <si>
    <t>基本開館時間
　パターン</t>
    <rPh sb="2" eb="4">
      <t>カイカン</t>
    </rPh>
    <rPh sb="4" eb="6">
      <t>ジカン</t>
    </rPh>
    <phoneticPr fontId="1"/>
  </si>
  <si>
    <t>△</t>
    <phoneticPr fontId="1"/>
  </si>
  <si>
    <t>▽</t>
    <phoneticPr fontId="1"/>
  </si>
  <si>
    <t>全スタッフ合計</t>
    <rPh sb="0" eb="1">
      <t>ゼン</t>
    </rPh>
    <rPh sb="5" eb="7">
      <t>ゴウケイ</t>
    </rPh>
    <phoneticPr fontId="1"/>
  </si>
  <si>
    <t>開館日数</t>
    <rPh sb="0" eb="2">
      <t>カイカン</t>
    </rPh>
    <rPh sb="2" eb="4">
      <t>ニッスウ</t>
    </rPh>
    <phoneticPr fontId="1"/>
  </si>
  <si>
    <t>時間数</t>
    <phoneticPr fontId="1"/>
  </si>
  <si>
    <t>時間数</t>
    <rPh sb="0" eb="3">
      <t>ジカンスウ</t>
    </rPh>
    <phoneticPr fontId="1"/>
  </si>
  <si>
    <t>月</t>
    <rPh sb="0" eb="1">
      <t>ツキ</t>
    </rPh>
    <phoneticPr fontId="1"/>
  </si>
  <si>
    <t>金額（税込）</t>
    <rPh sb="3" eb="5">
      <t>ゼイコミ</t>
    </rPh>
    <phoneticPr fontId="1"/>
  </si>
  <si>
    <t>金額（税込）</t>
    <rPh sb="0" eb="2">
      <t>キンガク</t>
    </rPh>
    <rPh sb="3" eb="5">
      <t>ゼイコミ</t>
    </rPh>
    <phoneticPr fontId="1"/>
  </si>
  <si>
    <t>変更：</t>
    <rPh sb="0" eb="2">
      <t>ヘンコウ</t>
    </rPh>
    <phoneticPr fontId="1"/>
  </si>
  <si>
    <t>開館</t>
    <rPh sb="0" eb="2">
      <t>カイカン</t>
    </rPh>
    <phoneticPr fontId="1"/>
  </si>
  <si>
    <t>閉館</t>
    <rPh sb="0" eb="2">
      <t>ヘイカン</t>
    </rPh>
    <phoneticPr fontId="1"/>
  </si>
  <si>
    <t>備考</t>
    <rPh sb="0" eb="2">
      <t>ビコウ</t>
    </rPh>
    <phoneticPr fontId="1"/>
  </si>
  <si>
    <t>変則開館期間</t>
    <rPh sb="0" eb="2">
      <t>ヘンソク</t>
    </rPh>
    <rPh sb="2" eb="4">
      <t>カイカン</t>
    </rPh>
    <rPh sb="4" eb="6">
      <t>チョウキカン</t>
    </rPh>
    <phoneticPr fontId="1"/>
  </si>
  <si>
    <t>基本閉館時間</t>
    <rPh sb="2" eb="4">
      <t>ヘイカン</t>
    </rPh>
    <rPh sb="4" eb="6">
      <t>ジカン</t>
    </rPh>
    <phoneticPr fontId="1"/>
  </si>
  <si>
    <t>決定開館時間</t>
    <rPh sb="0" eb="2">
      <t>ケッテイ</t>
    </rPh>
    <rPh sb="2" eb="4">
      <t>カイカン</t>
    </rPh>
    <rPh sb="4" eb="6">
      <t>ジカン</t>
    </rPh>
    <phoneticPr fontId="1"/>
  </si>
  <si>
    <t>開</t>
    <rPh sb="0" eb="1">
      <t>カイ</t>
    </rPh>
    <phoneticPr fontId="1"/>
  </si>
  <si>
    <t>館</t>
    <rPh sb="0" eb="1">
      <t>カン</t>
    </rPh>
    <phoneticPr fontId="1"/>
  </si>
  <si>
    <t>時</t>
    <rPh sb="0" eb="1">
      <t>ジ</t>
    </rPh>
    <phoneticPr fontId="1"/>
  </si>
  <si>
    <t>間</t>
    <rPh sb="0" eb="1">
      <t>カン</t>
    </rPh>
    <phoneticPr fontId="1"/>
  </si>
  <si>
    <t>のべ時間×人員</t>
    <rPh sb="2" eb="4">
      <t>ジカン</t>
    </rPh>
    <rPh sb="5" eb="7">
      <t>ジンイン</t>
    </rPh>
    <phoneticPr fontId="1"/>
  </si>
  <si>
    <t>Ｒ６</t>
    <phoneticPr fontId="1"/>
  </si>
  <si>
    <t>8:45-17:15</t>
    <phoneticPr fontId="1"/>
  </si>
  <si>
    <t>9:45-17:15</t>
    <phoneticPr fontId="1"/>
  </si>
  <si>
    <t>9:45-17:15</t>
    <phoneticPr fontId="1"/>
  </si>
  <si>
    <t>計</t>
    <rPh sb="0" eb="1">
      <t>ケイ</t>
    </rPh>
    <phoneticPr fontId="1"/>
  </si>
  <si>
    <t>対前年差＝＝＞</t>
    <rPh sb="0" eb="1">
      <t>タイ</t>
    </rPh>
    <rPh sb="1" eb="3">
      <t>ゼンネン</t>
    </rPh>
    <rPh sb="3" eb="4">
      <t>サ</t>
    </rPh>
    <phoneticPr fontId="1"/>
  </si>
  <si>
    <t>兵庫陶芸美術館　令和７年度開催日程　</t>
    <rPh sb="0" eb="2">
      <t>ヒョウゴ</t>
    </rPh>
    <rPh sb="2" eb="4">
      <t>トウゲイ</t>
    </rPh>
    <rPh sb="4" eb="7">
      <t>ビジュツカン</t>
    </rPh>
    <rPh sb="8" eb="10">
      <t>レイワ</t>
    </rPh>
    <rPh sb="11" eb="13">
      <t>ヘイネンド</t>
    </rPh>
    <rPh sb="13" eb="15">
      <t>カイサイ</t>
    </rPh>
    <rPh sb="15" eb="17">
      <t>ニッテイ</t>
    </rPh>
    <phoneticPr fontId="1"/>
  </si>
  <si>
    <r>
      <t>【管理者】</t>
    </r>
    <r>
      <rPr>
        <sz val="9"/>
        <color rgb="FFFF0000"/>
        <rFont val="ＭＳ ゴシック"/>
        <family val="3"/>
        <charset val="128"/>
      </rPr>
      <t xml:space="preserve"> ○8:45-17:15( 8.5H)</t>
    </r>
    <phoneticPr fontId="1"/>
  </si>
  <si>
    <t>●</t>
    <phoneticPr fontId="1"/>
  </si>
  <si>
    <t xml:space="preserve">令和７年度　スタッフ配置予定表（入札用） </t>
    <rPh sb="12" eb="14">
      <t>ヨテイ</t>
    </rPh>
    <rPh sb="16" eb="18">
      <t>ニュウサツ</t>
    </rPh>
    <rPh sb="18" eb="19">
      <t>ヨウ</t>
    </rPh>
    <phoneticPr fontId="1"/>
  </si>
  <si>
    <t>【Ｒ７年度スタッフ配置表Ver1】</t>
    <rPh sb="3" eb="5">
      <t>ネンド</t>
    </rPh>
    <rPh sb="9" eb="11">
      <t>ハイチ</t>
    </rPh>
    <rPh sb="11" eb="12">
      <t>ヒョウ</t>
    </rPh>
    <phoneticPr fontId="1"/>
  </si>
  <si>
    <r>
      <t>【管理者】</t>
    </r>
    <r>
      <rPr>
        <sz val="9"/>
        <color rgb="FFFF0000"/>
        <rFont val="ＭＳ ゴシック"/>
        <family val="3"/>
        <charset val="128"/>
      </rPr>
      <t>○8:45-17:15( 8.5H)</t>
    </r>
    <phoneticPr fontId="1"/>
  </si>
  <si>
    <t>Ｒ７</t>
    <phoneticPr fontId="1"/>
  </si>
  <si>
    <t>Ｒ７のべ時間</t>
    <rPh sb="4" eb="6">
      <t>ジカン</t>
    </rPh>
    <phoneticPr fontId="1"/>
  </si>
  <si>
    <t>のべ時間合計</t>
    <rPh sb="2" eb="4">
      <t>ジカン</t>
    </rPh>
    <rPh sb="4" eb="6">
      <t>ゴウケイ</t>
    </rPh>
    <phoneticPr fontId="1"/>
  </si>
  <si>
    <t xml:space="preserve">令和７年度　スタッフ配置表（作業用シート） </t>
    <rPh sb="0" eb="2">
      <t>レイワ</t>
    </rPh>
    <rPh sb="3" eb="5">
      <t>ネンド</t>
    </rPh>
    <rPh sb="5" eb="7">
      <t>ヘイネンド</t>
    </rPh>
    <rPh sb="10" eb="12">
      <t>ハイチ</t>
    </rPh>
    <rPh sb="12" eb="13">
      <t>ヒョウ</t>
    </rPh>
    <rPh sb="14" eb="17">
      <t>サギョウヨウ</t>
    </rPh>
    <phoneticPr fontId="1"/>
  </si>
  <si>
    <t>9:45-15:00</t>
    <phoneticPr fontId="1"/>
  </si>
  <si>
    <t>9:45-16:30</t>
    <phoneticPr fontId="1"/>
  </si>
  <si>
    <t>【改札Ｂ】○9:45-17:15(7.5H)　　</t>
    <rPh sb="1" eb="3">
      <t>カイサツ</t>
    </rPh>
    <phoneticPr fontId="1"/>
  </si>
  <si>
    <r>
      <t>【ｴﾝﾄﾗﾝｽＢ】● 9:45-16:30(6.75H)　</t>
    </r>
    <r>
      <rPr>
        <sz val="9"/>
        <color rgb="FFFF0000"/>
        <rFont val="ＭＳ ゴシック"/>
        <family val="3"/>
        <charset val="128"/>
      </rPr>
      <t>ｴﾝﾄBは常時配置</t>
    </r>
    <r>
      <rPr>
        <sz val="9"/>
        <rFont val="ＭＳ ゴシック"/>
        <family val="3"/>
        <charset val="128"/>
      </rPr>
      <t xml:space="preserve">
　　　　　　</t>
    </r>
    <rPh sb="34" eb="36">
      <t>ジョウジ</t>
    </rPh>
    <rPh sb="36" eb="38">
      <t>ハイチ</t>
    </rPh>
    <phoneticPr fontId="1"/>
  </si>
  <si>
    <r>
      <t>【ｴﾝﾄﾗﾝｽＡ】○9:45-15:00(5.25H)
　※</t>
    </r>
    <r>
      <rPr>
        <sz val="8"/>
        <rFont val="ＭＳ ゴシック"/>
        <family val="3"/>
        <charset val="128"/>
      </rPr>
      <t>特別展開催期間中の土日祝日。ただし12～2月を除く。</t>
    </r>
    <rPh sb="45" eb="47">
      <t>カイサイ</t>
    </rPh>
    <rPh sb="51" eb="53">
      <t>ドニチ</t>
    </rPh>
    <rPh sb="53" eb="55">
      <t>シュクジツ</t>
    </rPh>
    <rPh sb="65" eb="66">
      <t>ノゾ</t>
    </rPh>
    <phoneticPr fontId="1"/>
  </si>
  <si>
    <t>【ｴﾝﾄﾗﾝｽＡ】○9:45-15:00(5.25H)　
　※特別展開催期間中に配置。ただし12～2月の平日を除く。</t>
    <phoneticPr fontId="1"/>
  </si>
  <si>
    <r>
      <t>【ｴﾝﾄﾗﾝｽＢ】● 9:45-16:30(6.75H)　</t>
    </r>
    <r>
      <rPr>
        <sz val="9"/>
        <color rgb="FFFF0000"/>
        <rFont val="ＭＳ ゴシック"/>
        <family val="3"/>
        <charset val="128"/>
      </rPr>
      <t>ｴﾝﾄBは常時配置</t>
    </r>
    <r>
      <rPr>
        <sz val="9"/>
        <rFont val="ＭＳ ゴシック"/>
        <family val="3"/>
        <charset val="128"/>
      </rPr>
      <t>　</t>
    </r>
    <rPh sb="34" eb="36">
      <t>ジョウジ</t>
    </rPh>
    <rPh sb="36" eb="38">
      <t>ハイチ</t>
    </rPh>
    <phoneticPr fontId="1"/>
  </si>
  <si>
    <t>【改札Ｂ】○9:45-17:15(7.5H)　</t>
    <phoneticPr fontId="1"/>
  </si>
  <si>
    <t xml:space="preserve">【改札Ａ】
　　　　 ○9:45-15:00(5.25H)
　　　　 ◎11:15-16:15(5H) 
</t>
    <rPh sb="1" eb="3">
      <t>カイサツ</t>
    </rPh>
    <phoneticPr fontId="1"/>
  </si>
  <si>
    <t xml:space="preserve">【改札Ａ】
　　　　 ○9:45-15:00(5.25H)
　　　　 ◎11:15-16:15(5H) </t>
    <rPh sb="1" eb="3">
      <t>カイサツ</t>
    </rPh>
    <phoneticPr fontId="1"/>
  </si>
  <si>
    <r>
      <t>【監視】○9:45-</t>
    </r>
    <r>
      <rPr>
        <sz val="9"/>
        <color rgb="FFFF0000"/>
        <rFont val="ＭＳ ゴシック"/>
        <family val="3"/>
        <charset val="128"/>
      </rPr>
      <t>17:15(7.5H)5人</t>
    </r>
    <r>
      <rPr>
        <sz val="9"/>
        <rFont val="ＭＳ ゴシック"/>
        <family val="3"/>
        <charset val="128"/>
      </rPr>
      <t xml:space="preserve">
         ※数字はポスト数
        </t>
    </r>
    <r>
      <rPr>
        <sz val="9"/>
        <color rgb="FFFF0000"/>
        <rFont val="ＭＳ ゴシック"/>
        <family val="3"/>
        <charset val="128"/>
      </rPr>
      <t>△</t>
    </r>
    <r>
      <rPr>
        <sz val="9"/>
        <rFont val="ＭＳ ゴシック"/>
        <family val="3"/>
        <charset val="128"/>
      </rPr>
      <t>9:45-</t>
    </r>
    <r>
      <rPr>
        <sz val="9"/>
        <color rgb="FFFF0000"/>
        <rFont val="ＭＳ ゴシック"/>
        <family val="3"/>
        <charset val="128"/>
      </rPr>
      <t>17:15(7.5H)1人</t>
    </r>
    <r>
      <rPr>
        <sz val="9"/>
        <rFont val="ＭＳ ゴシック"/>
        <family val="3"/>
        <charset val="128"/>
      </rPr>
      <t>　　　▽12:30-15:15(2.75H)</t>
    </r>
    <r>
      <rPr>
        <sz val="9"/>
        <color rgb="FFFF0000"/>
        <rFont val="ＭＳ ゴシック"/>
        <family val="3"/>
        <charset val="128"/>
      </rPr>
      <t>4人</t>
    </r>
    <rPh sb="1" eb="3">
      <t>カンシ</t>
    </rPh>
    <rPh sb="22" eb="23">
      <t>ニン</t>
    </rPh>
    <rPh sb="34" eb="36">
      <t>スウジ</t>
    </rPh>
    <rPh sb="40" eb="41">
      <t>スウ</t>
    </rPh>
    <rPh sb="68" eb="69">
      <t>ニン</t>
    </rPh>
    <rPh sb="92" eb="93">
      <t>ニン</t>
    </rPh>
    <phoneticPr fontId="1"/>
  </si>
  <si>
    <r>
      <t>【監視】○9:45-</t>
    </r>
    <r>
      <rPr>
        <sz val="9"/>
        <color rgb="FFFF0000"/>
        <rFont val="ＭＳ ゴシック"/>
        <family val="3"/>
        <charset val="128"/>
      </rPr>
      <t>17:15(7.5H)5人</t>
    </r>
    <r>
      <rPr>
        <sz val="9"/>
        <rFont val="ＭＳ ゴシック"/>
        <family val="3"/>
        <charset val="128"/>
      </rPr>
      <t xml:space="preserve">
       </t>
    </r>
    <r>
      <rPr>
        <sz val="9"/>
        <color rgb="FFFF0000"/>
        <rFont val="ＭＳ ゴシック"/>
        <family val="3"/>
        <charset val="128"/>
      </rPr>
      <t xml:space="preserve"> </t>
    </r>
    <r>
      <rPr>
        <sz val="9"/>
        <rFont val="ＭＳ ゴシック"/>
        <family val="3"/>
        <charset val="128"/>
      </rPr>
      <t xml:space="preserve">  ※数字はポスト数
        </t>
    </r>
    <r>
      <rPr>
        <sz val="9"/>
        <color rgb="FFFF0000"/>
        <rFont val="ＭＳ ゴシック"/>
        <family val="3"/>
        <charset val="128"/>
      </rPr>
      <t>△</t>
    </r>
    <r>
      <rPr>
        <sz val="9"/>
        <rFont val="ＭＳ ゴシック"/>
        <family val="3"/>
        <charset val="128"/>
      </rPr>
      <t>9:45-</t>
    </r>
    <r>
      <rPr>
        <sz val="9"/>
        <color rgb="FFFF0000"/>
        <rFont val="ＭＳ ゴシック"/>
        <family val="3"/>
        <charset val="128"/>
      </rPr>
      <t>17:15(7.5H)1人</t>
    </r>
    <r>
      <rPr>
        <sz val="9"/>
        <rFont val="ＭＳ ゴシック"/>
        <family val="3"/>
        <charset val="128"/>
      </rPr>
      <t>　▽12:30-15:15(2.75H)</t>
    </r>
    <r>
      <rPr>
        <sz val="9"/>
        <color rgb="FFFF0000"/>
        <rFont val="ＭＳ ゴシック"/>
        <family val="3"/>
        <charset val="128"/>
      </rPr>
      <t>4人</t>
    </r>
    <phoneticPr fontId="1"/>
  </si>
  <si>
    <t>11:15-16:15</t>
    <phoneticPr fontId="1"/>
  </si>
  <si>
    <t>12:30-15:15</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</si>
</sst>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m/d;@"/>
    <numFmt numFmtId="177" formatCode="0_ "/>
    <numFmt numFmtId="178" formatCode="yyyy/m/d;@"/>
    <numFmt numFmtId="179" formatCode="0;[Red]0"/>
    <numFmt numFmtId="180" formatCode="h:mm;@"/>
    <numFmt numFmtId="181" formatCode="#,##0_ "/>
    <numFmt numFmtId="182" formatCode="#,##0.0_ "/>
    <numFmt numFmtId="183" formatCode="#,##0.0;&quot;△ &quot;#,##0.0"/>
    <numFmt numFmtId="184" formatCode="#,###.0&quot;ｈ&quot;"/>
    <numFmt numFmtId="185" formatCode="#,##0_);\(#,##0\)"/>
    <numFmt numFmtId="186" formatCode="#,###&quot;人&quot;"/>
    <numFmt numFmtId="187" formatCode="#,###.00&quot;ｈ&quot;"/>
    <numFmt numFmtId="188" formatCode="#,##0.00_ "/>
    <numFmt numFmtId="189" formatCode="#,##0_ ;[Red]\-#,##0\ "/>
    <numFmt numFmtId="190" formatCode="0_);[Red]\(0\)"/>
    <numFmt numFmtId="191" formatCode="#,##0;&quot;△ &quot;#,##0"/>
  </numFmts>
  <fonts count="21">
    <font>
      <sz val="11"/>
      <name val="ＭＳ Ｐゴシック"/>
      <family val="3"/>
      <charset val="128"/>
    </font>
    <font>
      <sz val="6"/>
      <name val="ＭＳ Ｐゴシック"/>
      <family val="3"/>
      <charset val="128"/>
    </font>
    <font>
      <sz val="9"/>
      <name val="ＭＳ Ｐゴシック"/>
      <family val="3"/>
      <charset val="128"/>
    </font>
    <font>
      <sz val="9"/>
      <color indexed="10"/>
      <name val="ＭＳ Ｐゴシック"/>
      <family val="3"/>
      <charset val="128"/>
    </font>
    <font>
      <b/>
      <sz val="14"/>
      <name val="ＭＳ ゴシック"/>
      <family val="3"/>
      <charset val="128"/>
    </font>
    <font>
      <sz val="9"/>
      <name val="ＭＳ ゴシック"/>
      <family val="3"/>
      <charset val="128"/>
    </font>
    <font>
      <sz val="11"/>
      <name val="ＭＳ ゴシック"/>
      <family val="3"/>
      <charset val="128"/>
    </font>
    <font>
      <sz val="8"/>
      <name val="ＭＳ ゴシック"/>
      <family val="3"/>
      <charset val="128"/>
    </font>
    <font>
      <sz val="20"/>
      <name val="ＭＳ Ｐゴシック"/>
      <family val="3"/>
      <charset val="128"/>
    </font>
    <font>
      <sz val="10"/>
      <name val="ＭＳ Ｐゴシック"/>
      <family val="3"/>
      <charset val="128"/>
    </font>
    <font>
      <sz val="9"/>
      <color rgb="FFFF0000"/>
      <name val="ＭＳ Ｐゴシック"/>
      <family val="3"/>
      <charset val="128"/>
    </font>
    <font>
      <sz val="6"/>
      <name val="ＭＳ ゴシック"/>
      <family val="2"/>
      <charset val="128"/>
    </font>
    <font>
      <sz val="9"/>
      <color indexed="81"/>
      <name val="MS P ゴシック"/>
      <family val="3"/>
      <charset val="128"/>
    </font>
    <font>
      <b/>
      <sz val="9"/>
      <color indexed="81"/>
      <name val="MS P ゴシック"/>
      <family val="3"/>
      <charset val="128"/>
    </font>
    <font>
      <strike/>
      <sz val="9"/>
      <name val="ＭＳ Ｐゴシック"/>
      <family val="3"/>
      <charset val="128"/>
    </font>
    <font>
      <sz val="11"/>
      <color rgb="FFFF0000"/>
      <name val="ＭＳ Ｐゴシック"/>
      <family val="3"/>
      <charset val="128"/>
    </font>
    <font>
      <sz val="9"/>
      <color rgb="FFFF0000"/>
      <name val="ＭＳ ゴシック"/>
      <family val="3"/>
      <charset val="128"/>
    </font>
    <font>
      <sz val="6"/>
      <color rgb="FFFF0000"/>
      <name val="ＭＳ Ｐゴシック"/>
      <family val="3"/>
      <charset val="128"/>
    </font>
    <font>
      <b/>
      <sz val="9"/>
      <name val="ＭＳ Ｐゴシック"/>
      <family val="3"/>
      <charset val="128"/>
    </font>
    <font>
      <strike/>
      <sz val="9"/>
      <color rgb="FF0070C0"/>
      <name val="ＭＳ Ｐゴシック"/>
      <family val="3"/>
      <charset val="128"/>
    </font>
    <font>
      <i/>
      <sz val="11"/>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theme="9" tint="0.39997558519241921"/>
        <bgColor indexed="64"/>
      </patternFill>
    </fill>
    <fill>
      <patternFill patternType="solid">
        <fgColor rgb="FFFFFF00"/>
        <bgColor indexed="64"/>
      </patternFill>
    </fill>
    <fill>
      <patternFill patternType="solid">
        <fgColor theme="0"/>
        <bgColor indexed="64"/>
      </patternFill>
    </fill>
  </fills>
  <borders count="78">
    <border>
      <left/>
      <right/>
      <top/>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double">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medium">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style="medium">
        <color indexed="64"/>
      </left>
      <right/>
      <top/>
      <bottom style="double">
        <color indexed="64"/>
      </bottom>
      <diagonal/>
    </border>
    <border>
      <left/>
      <right style="medium">
        <color indexed="64"/>
      </right>
      <top/>
      <bottom style="double">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indexed="64"/>
      </left>
      <right style="thin">
        <color indexed="64"/>
      </right>
      <top style="double">
        <color indexed="64"/>
      </top>
      <bottom style="medium">
        <color indexed="64"/>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bottom style="medium">
        <color auto="1"/>
      </bottom>
      <diagonal/>
    </border>
    <border>
      <left style="medium">
        <color indexed="64"/>
      </left>
      <right/>
      <top style="thin">
        <color indexed="64"/>
      </top>
      <bottom style="double">
        <color indexed="64"/>
      </bottom>
      <diagonal/>
    </border>
    <border>
      <left style="medium">
        <color auto="1"/>
      </left>
      <right style="thin">
        <color auto="1"/>
      </right>
      <top style="thin">
        <color indexed="64"/>
      </top>
      <bottom style="double">
        <color indexed="64"/>
      </bottom>
      <diagonal/>
    </border>
    <border>
      <left style="thin">
        <color auto="1"/>
      </left>
      <right style="thin">
        <color auto="1"/>
      </right>
      <top style="thin">
        <color indexed="64"/>
      </top>
      <bottom style="double">
        <color indexed="64"/>
      </bottom>
      <diagonal/>
    </border>
    <border>
      <left/>
      <right style="thin">
        <color auto="1"/>
      </right>
      <top style="thin">
        <color indexed="64"/>
      </top>
      <bottom style="double">
        <color indexed="64"/>
      </bottom>
      <diagonal/>
    </border>
    <border>
      <left style="thin">
        <color auto="1"/>
      </left>
      <right style="medium">
        <color auto="1"/>
      </right>
      <top style="thin">
        <color indexed="64"/>
      </top>
      <bottom style="double">
        <color indexed="64"/>
      </bottom>
      <diagonal/>
    </border>
    <border diagonalUp="1">
      <left style="thin">
        <color auto="1"/>
      </left>
      <right/>
      <top style="thin">
        <color auto="1"/>
      </top>
      <bottom style="thin">
        <color auto="1"/>
      </bottom>
      <diagonal style="thin">
        <color auto="1"/>
      </diagonal>
    </border>
    <border diagonalUp="1">
      <left/>
      <right style="medium">
        <color auto="1"/>
      </right>
      <top style="thin">
        <color auto="1"/>
      </top>
      <bottom style="thin">
        <color indexed="64"/>
      </bottom>
      <diagonal style="thin">
        <color auto="1"/>
      </diagonal>
    </border>
    <border diagonalUp="1">
      <left style="thin">
        <color auto="1"/>
      </left>
      <right/>
      <top style="thin">
        <color indexed="64"/>
      </top>
      <bottom style="double">
        <color indexed="64"/>
      </bottom>
      <diagonal style="thin">
        <color auto="1"/>
      </diagonal>
    </border>
    <border diagonalUp="1">
      <left/>
      <right style="medium">
        <color auto="1"/>
      </right>
      <top style="thin">
        <color indexed="64"/>
      </top>
      <bottom style="double">
        <color indexed="64"/>
      </bottom>
      <diagonal style="thin">
        <color auto="1"/>
      </diagonal>
    </border>
    <border diagonalUp="1">
      <left style="thin">
        <color auto="1"/>
      </left>
      <right style="thin">
        <color auto="1"/>
      </right>
      <top/>
      <bottom style="medium">
        <color auto="1"/>
      </bottom>
      <diagonal style="thin">
        <color auto="1"/>
      </diagonal>
    </border>
    <border diagonalUp="1">
      <left style="thin">
        <color auto="1"/>
      </left>
      <right style="medium">
        <color auto="1"/>
      </right>
      <top/>
      <bottom style="medium">
        <color auto="1"/>
      </bottom>
      <diagonal style="thin">
        <color auto="1"/>
      </diagonal>
    </border>
    <border>
      <left style="medium">
        <color auto="1"/>
      </left>
      <right style="medium">
        <color auto="1"/>
      </right>
      <top style="medium">
        <color auto="1"/>
      </top>
      <bottom style="double">
        <color auto="1"/>
      </bottom>
      <diagonal/>
    </border>
  </borders>
  <cellStyleXfs count="1">
    <xf numFmtId="0" fontId="0" fillId="0" borderId="0">
      <alignment vertical="center"/>
    </xf>
  </cellStyleXfs>
  <cellXfs count="402">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Border="1">
      <alignment vertical="center"/>
    </xf>
    <xf numFmtId="0" fontId="2" fillId="0" borderId="0" xfId="0" applyFont="1" applyBorder="1" applyAlignment="1">
      <alignment horizontal="left" vertical="center"/>
    </xf>
    <xf numFmtId="0" fontId="2" fillId="0" borderId="1" xfId="0" applyFont="1" applyBorder="1" applyAlignment="1">
      <alignment horizontal="right" vertical="center"/>
    </xf>
    <xf numFmtId="176" fontId="2" fillId="0" borderId="0" xfId="0" applyNumberFormat="1" applyFont="1" applyFill="1" applyBorder="1" applyAlignment="1">
      <alignment horizontal="right" vertical="center"/>
    </xf>
    <xf numFmtId="0" fontId="2" fillId="0" borderId="0" xfId="0" applyFont="1" applyFill="1" applyBorder="1">
      <alignment vertical="center"/>
    </xf>
    <xf numFmtId="176" fontId="2" fillId="0" borderId="2" xfId="0" applyNumberFormat="1" applyFont="1" applyFill="1" applyBorder="1" applyAlignment="1">
      <alignment horizontal="right"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2" fillId="0" borderId="0" xfId="0" applyFont="1" applyAlignment="1">
      <alignment horizontal="left" vertical="center"/>
    </xf>
    <xf numFmtId="0" fontId="2" fillId="0" borderId="0" xfId="0" applyFont="1" applyBorder="1" applyAlignment="1">
      <alignment horizontal="right" vertical="center"/>
    </xf>
    <xf numFmtId="0" fontId="0" fillId="0" borderId="3" xfId="0" applyBorder="1">
      <alignment vertical="center"/>
    </xf>
    <xf numFmtId="0" fontId="0" fillId="0" borderId="4" xfId="0" applyBorder="1">
      <alignmen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Fill="1">
      <alignment vertical="center"/>
    </xf>
    <xf numFmtId="0" fontId="2" fillId="0" borderId="0" xfId="0" applyFont="1" applyFill="1" applyBorder="1" applyAlignment="1">
      <alignment horizontal="right" vertical="center"/>
    </xf>
    <xf numFmtId="0" fontId="2" fillId="0" borderId="2" xfId="0" applyFont="1" applyBorder="1" applyAlignment="1">
      <alignment horizontal="right" vertical="center"/>
    </xf>
    <xf numFmtId="0" fontId="2" fillId="0" borderId="6" xfId="0" applyFont="1" applyBorder="1" applyAlignment="1">
      <alignment horizontal="right" vertical="center"/>
    </xf>
    <xf numFmtId="0" fontId="2" fillId="0" borderId="6" xfId="0" applyFont="1" applyFill="1" applyBorder="1" applyAlignment="1">
      <alignment horizontal="center" vertical="center"/>
    </xf>
    <xf numFmtId="0" fontId="2" fillId="0" borderId="1" xfId="0" applyFont="1" applyFill="1" applyBorder="1">
      <alignment vertical="center"/>
    </xf>
    <xf numFmtId="0" fontId="2" fillId="0" borderId="7" xfId="0" applyFont="1" applyFill="1" applyBorder="1" applyAlignment="1">
      <alignment horizontal="center" vertical="center"/>
    </xf>
    <xf numFmtId="176" fontId="2" fillId="0" borderId="8" xfId="0" applyNumberFormat="1" applyFont="1" applyFill="1" applyBorder="1" applyAlignment="1">
      <alignment horizontal="right" vertical="center"/>
    </xf>
    <xf numFmtId="0" fontId="0" fillId="0" borderId="0" xfId="0" applyFill="1" applyBorder="1">
      <alignment vertical="center"/>
    </xf>
    <xf numFmtId="0" fontId="2" fillId="0" borderId="6" xfId="0" applyFont="1" applyFill="1" applyBorder="1">
      <alignment vertical="center"/>
    </xf>
    <xf numFmtId="0" fontId="2" fillId="0" borderId="0" xfId="0" applyFont="1" applyFill="1" applyAlignment="1">
      <alignment horizontal="right" vertical="center"/>
    </xf>
    <xf numFmtId="176" fontId="2" fillId="0" borderId="1" xfId="0" applyNumberFormat="1" applyFont="1" applyFill="1" applyBorder="1" applyAlignment="1">
      <alignment horizontal="right" vertical="center"/>
    </xf>
    <xf numFmtId="0" fontId="2" fillId="0" borderId="7" xfId="0" applyFont="1" applyFill="1" applyBorder="1">
      <alignment vertical="center"/>
    </xf>
    <xf numFmtId="0" fontId="0" fillId="0" borderId="0" xfId="0" applyAlignment="1">
      <alignment horizontal="right" vertical="center"/>
    </xf>
    <xf numFmtId="0" fontId="2" fillId="0" borderId="2" xfId="0" applyFont="1" applyFill="1" applyBorder="1">
      <alignment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lignment vertical="center"/>
    </xf>
    <xf numFmtId="0" fontId="0" fillId="0" borderId="2" xfId="0" applyFill="1" applyBorder="1">
      <alignment vertical="center"/>
    </xf>
    <xf numFmtId="0" fontId="2" fillId="0" borderId="0" xfId="0" applyFont="1" applyFill="1" applyAlignment="1">
      <alignment horizontal="left" vertical="center"/>
    </xf>
    <xf numFmtId="0" fontId="0" fillId="0" borderId="11" xfId="0" applyBorder="1" applyAlignment="1">
      <alignment horizontal="center" vertical="center"/>
    </xf>
    <xf numFmtId="0" fontId="0" fillId="0" borderId="0" xfId="0" applyBorder="1">
      <alignment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lignment vertical="center"/>
    </xf>
    <xf numFmtId="0" fontId="2" fillId="0" borderId="1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14" xfId="0" applyFont="1" applyFill="1" applyBorder="1" applyAlignment="1">
      <alignment horizontal="center" vertical="center"/>
    </xf>
    <xf numFmtId="0" fontId="0" fillId="0" borderId="12" xfId="0" applyFill="1" applyBorder="1" applyAlignment="1">
      <alignment horizontal="center" vertical="center"/>
    </xf>
    <xf numFmtId="0" fontId="0" fillId="0" borderId="11" xfId="0" applyFill="1" applyBorder="1" applyAlignment="1">
      <alignment horizontal="center" vertical="center"/>
    </xf>
    <xf numFmtId="0" fontId="0" fillId="0" borderId="0" xfId="0" applyFill="1">
      <alignment vertical="center"/>
    </xf>
    <xf numFmtId="176" fontId="2" fillId="0" borderId="6" xfId="0" applyNumberFormat="1" applyFont="1" applyFill="1" applyBorder="1">
      <alignment vertical="center"/>
    </xf>
    <xf numFmtId="179" fontId="2" fillId="0" borderId="0" xfId="0" applyNumberFormat="1" applyFont="1">
      <alignment vertical="center"/>
    </xf>
    <xf numFmtId="179" fontId="2" fillId="0" borderId="0" xfId="0" applyNumberFormat="1" applyFont="1" applyAlignment="1">
      <alignment horizontal="center" vertical="center"/>
    </xf>
    <xf numFmtId="179" fontId="2" fillId="0" borderId="0" xfId="0" applyNumberFormat="1" applyFont="1" applyFill="1">
      <alignment vertical="center"/>
    </xf>
    <xf numFmtId="179" fontId="2" fillId="0" borderId="0" xfId="0" applyNumberFormat="1" applyFont="1" applyFill="1" applyAlignment="1">
      <alignment horizontal="center" vertical="center"/>
    </xf>
    <xf numFmtId="0" fontId="2" fillId="0" borderId="0" xfId="0" applyFont="1" applyAlignment="1">
      <alignment vertical="center" textRotation="255"/>
    </xf>
    <xf numFmtId="176" fontId="0" fillId="0" borderId="0" xfId="0" applyNumberFormat="1" applyFill="1">
      <alignment vertical="center"/>
    </xf>
    <xf numFmtId="176" fontId="0" fillId="0" borderId="3" xfId="0" applyNumberFormat="1" applyFill="1" applyBorder="1">
      <alignment vertical="center"/>
    </xf>
    <xf numFmtId="0" fontId="0" fillId="0" borderId="4" xfId="0" applyFill="1" applyBorder="1">
      <alignment vertical="center"/>
    </xf>
    <xf numFmtId="0" fontId="2" fillId="0" borderId="5" xfId="0" applyFont="1" applyFill="1" applyBorder="1" applyAlignment="1">
      <alignment horizontal="center" vertical="center"/>
    </xf>
    <xf numFmtId="176" fontId="2" fillId="0" borderId="1" xfId="0" applyNumberFormat="1" applyFont="1" applyFill="1" applyBorder="1">
      <alignment vertical="center"/>
    </xf>
    <xf numFmtId="0" fontId="2" fillId="0" borderId="0" xfId="0" applyFont="1" applyFill="1" applyBorder="1" applyAlignment="1">
      <alignment horizontal="left" vertical="center" shrinkToFit="1"/>
    </xf>
    <xf numFmtId="0" fontId="2" fillId="0" borderId="0" xfId="0" applyFont="1" applyFill="1" applyBorder="1" applyAlignment="1">
      <alignment vertical="center" shrinkToFit="1"/>
    </xf>
    <xf numFmtId="0" fontId="2" fillId="0" borderId="6" xfId="0" applyFont="1" applyFill="1" applyBorder="1" applyAlignment="1">
      <alignment horizontal="left" vertical="center" shrinkToFit="1"/>
    </xf>
    <xf numFmtId="0" fontId="2" fillId="0" borderId="6" xfId="0" applyFont="1" applyFill="1" applyBorder="1" applyAlignment="1">
      <alignment vertical="center" shrinkToFit="1"/>
    </xf>
    <xf numFmtId="0" fontId="2" fillId="0" borderId="14" xfId="0" applyFont="1" applyFill="1" applyBorder="1" applyAlignment="1">
      <alignment vertical="center" shrinkToFit="1"/>
    </xf>
    <xf numFmtId="0" fontId="2" fillId="0" borderId="9" xfId="0" applyFont="1" applyFill="1" applyBorder="1" applyAlignment="1">
      <alignment vertical="center" shrinkToFit="1"/>
    </xf>
    <xf numFmtId="0" fontId="2" fillId="0" borderId="10" xfId="0" applyFont="1" applyFill="1" applyBorder="1" applyAlignment="1">
      <alignment vertical="center" shrinkToFit="1"/>
    </xf>
    <xf numFmtId="0" fontId="2" fillId="0" borderId="7" xfId="0" applyFont="1" applyFill="1" applyBorder="1" applyAlignment="1">
      <alignment horizontal="left" vertical="center" shrinkToFit="1"/>
    </xf>
    <xf numFmtId="0" fontId="2" fillId="0" borderId="7" xfId="0" applyFont="1" applyFill="1" applyBorder="1" applyAlignment="1">
      <alignment vertical="center" shrinkToFit="1"/>
    </xf>
    <xf numFmtId="178" fontId="0" fillId="2" borderId="0" xfId="0" applyNumberFormat="1" applyFill="1">
      <alignment vertical="center"/>
    </xf>
    <xf numFmtId="0" fontId="0" fillId="2" borderId="0" xfId="0" applyFill="1">
      <alignment vertical="center"/>
    </xf>
    <xf numFmtId="179" fontId="3" fillId="0" borderId="0" xfId="0" applyNumberFormat="1" applyFont="1" applyAlignment="1">
      <alignment horizontal="center" vertical="center"/>
    </xf>
    <xf numFmtId="180" fontId="2" fillId="0" borderId="0" xfId="0" applyNumberFormat="1" applyFont="1">
      <alignment vertical="center"/>
    </xf>
    <xf numFmtId="0" fontId="2" fillId="0" borderId="0" xfId="0" applyNumberFormat="1" applyFont="1">
      <alignment vertical="center"/>
    </xf>
    <xf numFmtId="0" fontId="0" fillId="2" borderId="0" xfId="0" applyFill="1" applyAlignment="1">
      <alignment horizontal="center" vertical="center"/>
    </xf>
    <xf numFmtId="180" fontId="0" fillId="2" borderId="0" xfId="0" applyNumberFormat="1" applyFill="1">
      <alignment vertical="center"/>
    </xf>
    <xf numFmtId="0" fontId="5" fillId="0" borderId="0" xfId="0" applyFont="1">
      <alignment vertical="center"/>
    </xf>
    <xf numFmtId="0" fontId="2" fillId="0" borderId="15" xfId="0" applyFont="1" applyBorder="1" applyAlignment="1">
      <alignment horizontal="right" vertical="center"/>
    </xf>
    <xf numFmtId="0" fontId="2" fillId="0" borderId="16"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lignment vertical="center"/>
    </xf>
    <xf numFmtId="0" fontId="2" fillId="0" borderId="15" xfId="0" applyFont="1" applyBorder="1">
      <alignment vertical="center"/>
    </xf>
    <xf numFmtId="0" fontId="2" fillId="0" borderId="17" xfId="0" applyFont="1" applyBorder="1">
      <alignment vertical="center"/>
    </xf>
    <xf numFmtId="0" fontId="2" fillId="0" borderId="18" xfId="0" applyFont="1" applyBorder="1" applyAlignment="1">
      <alignment horizontal="center" vertical="center"/>
    </xf>
    <xf numFmtId="0" fontId="2" fillId="0" borderId="17" xfId="0" applyFont="1" applyBorder="1" applyAlignment="1">
      <alignment horizontal="center" vertical="center"/>
    </xf>
    <xf numFmtId="0" fontId="2" fillId="0" borderId="19" xfId="0" applyFont="1" applyBorder="1" applyAlignment="1">
      <alignment horizontal="center" vertical="center"/>
    </xf>
    <xf numFmtId="181" fontId="2" fillId="0" borderId="0" xfId="0" applyNumberFormat="1" applyFont="1" applyBorder="1" applyAlignment="1">
      <alignment horizontal="right" vertical="center"/>
    </xf>
    <xf numFmtId="181" fontId="2" fillId="0" borderId="9" xfId="0" applyNumberFormat="1" applyFont="1" applyBorder="1" applyAlignment="1">
      <alignment horizontal="right" vertical="center"/>
    </xf>
    <xf numFmtId="181" fontId="2" fillId="0" borderId="9" xfId="0" applyNumberFormat="1" applyFont="1" applyBorder="1">
      <alignment vertical="center"/>
    </xf>
    <xf numFmtId="181" fontId="2" fillId="0" borderId="0" xfId="0" applyNumberFormat="1" applyFont="1" applyBorder="1" applyAlignment="1">
      <alignment horizontal="center" vertical="center"/>
    </xf>
    <xf numFmtId="181" fontId="2" fillId="0" borderId="20" xfId="0" applyNumberFormat="1" applyFont="1" applyBorder="1" applyAlignment="1">
      <alignment horizontal="right" vertical="center"/>
    </xf>
    <xf numFmtId="182" fontId="2" fillId="0" borderId="9" xfId="0" applyNumberFormat="1" applyFont="1" applyBorder="1" applyAlignment="1">
      <alignment horizontal="right" vertical="center"/>
    </xf>
    <xf numFmtId="182" fontId="2" fillId="0" borderId="0" xfId="0" applyNumberFormat="1" applyFont="1" applyBorder="1" applyAlignment="1">
      <alignment horizontal="right" vertical="center"/>
    </xf>
    <xf numFmtId="182" fontId="2" fillId="0" borderId="9" xfId="0" applyNumberFormat="1" applyFont="1" applyBorder="1">
      <alignment vertical="center"/>
    </xf>
    <xf numFmtId="0" fontId="2" fillId="0" borderId="16" xfId="0" applyFont="1" applyBorder="1" applyAlignment="1">
      <alignment vertical="center"/>
    </xf>
    <xf numFmtId="177" fontId="2" fillId="0" borderId="16" xfId="0" applyNumberFormat="1" applyFont="1" applyBorder="1" applyAlignment="1">
      <alignment vertical="center"/>
    </xf>
    <xf numFmtId="177" fontId="2" fillId="0" borderId="15" xfId="0" applyNumberFormat="1" applyFont="1" applyBorder="1" applyAlignment="1">
      <alignment vertical="center"/>
    </xf>
    <xf numFmtId="177" fontId="2" fillId="0" borderId="20" xfId="0" applyNumberFormat="1" applyFont="1" applyBorder="1" applyAlignment="1">
      <alignment vertical="center"/>
    </xf>
    <xf numFmtId="183" fontId="2" fillId="0" borderId="9" xfId="0" applyNumberFormat="1" applyFont="1" applyBorder="1" applyAlignment="1">
      <alignment vertical="center"/>
    </xf>
    <xf numFmtId="183" fontId="2" fillId="0" borderId="20" xfId="0" applyNumberFormat="1" applyFont="1" applyBorder="1" applyAlignment="1">
      <alignment vertical="center"/>
    </xf>
    <xf numFmtId="183" fontId="2" fillId="0" borderId="9" xfId="0" applyNumberFormat="1" applyFont="1" applyBorder="1" applyAlignment="1">
      <alignment horizontal="right" vertical="center"/>
    </xf>
    <xf numFmtId="183" fontId="2" fillId="0" borderId="0" xfId="0" applyNumberFormat="1" applyFont="1" applyBorder="1" applyAlignment="1">
      <alignment horizontal="right" vertical="center"/>
    </xf>
    <xf numFmtId="183" fontId="2" fillId="0" borderId="20" xfId="0" applyNumberFormat="1" applyFont="1" applyBorder="1">
      <alignment vertical="center"/>
    </xf>
    <xf numFmtId="183" fontId="2" fillId="0" borderId="16" xfId="0" applyNumberFormat="1" applyFont="1" applyBorder="1" applyAlignment="1">
      <alignment horizontal="right" vertical="center"/>
    </xf>
    <xf numFmtId="183" fontId="2" fillId="0" borderId="9" xfId="0" applyNumberFormat="1" applyFont="1" applyBorder="1">
      <alignment vertical="center"/>
    </xf>
    <xf numFmtId="0" fontId="2" fillId="0" borderId="18" xfId="0" applyFont="1" applyBorder="1" applyAlignment="1">
      <alignment horizontal="right" vertical="center"/>
    </xf>
    <xf numFmtId="0" fontId="2" fillId="0" borderId="18" xfId="0" applyFont="1" applyBorder="1" applyAlignment="1">
      <alignment horizontal="left" vertical="center"/>
    </xf>
    <xf numFmtId="183" fontId="2" fillId="0" borderId="16" xfId="0" applyNumberFormat="1" applyFont="1" applyBorder="1" applyAlignment="1">
      <alignment vertical="center"/>
    </xf>
    <xf numFmtId="0" fontId="2" fillId="0" borderId="0" xfId="0" applyFont="1" applyFill="1" applyAlignment="1">
      <alignment vertical="center" shrinkToFit="1"/>
    </xf>
    <xf numFmtId="0" fontId="3" fillId="0" borderId="0" xfId="0" applyFont="1" applyFill="1" applyBorder="1" applyAlignment="1">
      <alignment vertical="center" shrinkToFit="1"/>
    </xf>
    <xf numFmtId="182" fontId="2" fillId="0" borderId="10" xfId="0" applyNumberFormat="1" applyFont="1" applyBorder="1" applyAlignment="1">
      <alignment horizontal="right" vertical="center"/>
    </xf>
    <xf numFmtId="182" fontId="2" fillId="0" borderId="6" xfId="0" applyNumberFormat="1" applyFont="1" applyBorder="1" applyAlignment="1">
      <alignment horizontal="right" vertical="center"/>
    </xf>
    <xf numFmtId="182" fontId="2" fillId="0" borderId="10" xfId="0" applyNumberFormat="1" applyFont="1" applyBorder="1">
      <alignment vertical="center"/>
    </xf>
    <xf numFmtId="0" fontId="2" fillId="0" borderId="19" xfId="0" applyFont="1" applyBorder="1" applyAlignment="1">
      <alignment horizontal="right" vertical="center"/>
    </xf>
    <xf numFmtId="0" fontId="2" fillId="0" borderId="3" xfId="0" applyFont="1" applyBorder="1">
      <alignment vertical="center"/>
    </xf>
    <xf numFmtId="0" fontId="2" fillId="0" borderId="4" xfId="0" applyFont="1" applyBorder="1">
      <alignment vertical="center"/>
    </xf>
    <xf numFmtId="0" fontId="2" fillId="0" borderId="21" xfId="0" applyFont="1" applyBorder="1" applyAlignment="1">
      <alignment horizontal="center" vertical="center" shrinkToFit="1"/>
    </xf>
    <xf numFmtId="0" fontId="2" fillId="0" borderId="22" xfId="0" applyFont="1" applyBorder="1" applyAlignment="1">
      <alignment horizontal="center" vertical="center" shrinkToFit="1"/>
    </xf>
    <xf numFmtId="176" fontId="2" fillId="0" borderId="23" xfId="0" applyNumberFormat="1" applyFont="1" applyFill="1" applyBorder="1" applyAlignment="1">
      <alignment horizontal="right" vertical="center"/>
    </xf>
    <xf numFmtId="0" fontId="2" fillId="0" borderId="24" xfId="0" applyFont="1" applyFill="1" applyBorder="1" applyAlignment="1">
      <alignment horizontal="center" vertical="center"/>
    </xf>
    <xf numFmtId="0" fontId="2" fillId="0" borderId="24" xfId="0" applyFont="1" applyFill="1" applyBorder="1" applyAlignment="1">
      <alignment horizontal="left" vertical="center" shrinkToFit="1"/>
    </xf>
    <xf numFmtId="0" fontId="2" fillId="0" borderId="24" xfId="0" applyFont="1" applyFill="1" applyBorder="1" applyAlignment="1">
      <alignment vertical="center" shrinkToFit="1"/>
    </xf>
    <xf numFmtId="176" fontId="2" fillId="0" borderId="25" xfId="0" applyNumberFormat="1" applyFont="1" applyFill="1" applyBorder="1" applyAlignment="1">
      <alignment horizontal="right" vertical="center"/>
    </xf>
    <xf numFmtId="0" fontId="2" fillId="0" borderId="26" xfId="0" applyFont="1" applyFill="1" applyBorder="1" applyAlignment="1">
      <alignment horizontal="center" vertical="center"/>
    </xf>
    <xf numFmtId="0" fontId="2" fillId="0" borderId="26" xfId="0" applyFont="1" applyFill="1" applyBorder="1" applyAlignment="1">
      <alignment horizontal="left" vertical="center" shrinkToFit="1"/>
    </xf>
    <xf numFmtId="0" fontId="2" fillId="0" borderId="26" xfId="0" applyFont="1" applyFill="1" applyBorder="1" applyAlignment="1">
      <alignment vertical="center" shrinkToFit="1"/>
    </xf>
    <xf numFmtId="0" fontId="2" fillId="0" borderId="27" xfId="0" applyFont="1" applyBorder="1">
      <alignment vertical="center"/>
    </xf>
    <xf numFmtId="0" fontId="2" fillId="0" borderId="28" xfId="0" applyFont="1" applyBorder="1">
      <alignment vertical="center"/>
    </xf>
    <xf numFmtId="0" fontId="2" fillId="0" borderId="29" xfId="0" applyFont="1" applyBorder="1">
      <alignment vertical="center"/>
    </xf>
    <xf numFmtId="0" fontId="2" fillId="0" borderId="30" xfId="0" applyFont="1" applyBorder="1">
      <alignment vertical="center"/>
    </xf>
    <xf numFmtId="180" fontId="2" fillId="0" borderId="31" xfId="0" applyNumberFormat="1" applyFont="1" applyFill="1" applyBorder="1">
      <alignment vertical="center"/>
    </xf>
    <xf numFmtId="180" fontId="2" fillId="0" borderId="32" xfId="0" applyNumberFormat="1" applyFont="1" applyFill="1" applyBorder="1">
      <alignment vertical="center"/>
    </xf>
    <xf numFmtId="0" fontId="2" fillId="0" borderId="33" xfId="0" applyFont="1" applyFill="1" applyBorder="1" applyAlignment="1">
      <alignment horizontal="center" vertical="center"/>
    </xf>
    <xf numFmtId="49" fontId="2" fillId="0" borderId="0" xfId="0" applyNumberFormat="1" applyFont="1" applyAlignment="1">
      <alignment horizontal="center" vertical="center"/>
    </xf>
    <xf numFmtId="179" fontId="10" fillId="0" borderId="0" xfId="0" applyNumberFormat="1" applyFont="1" applyAlignment="1">
      <alignment horizontal="center" vertical="center"/>
    </xf>
    <xf numFmtId="0" fontId="10" fillId="0" borderId="0" xfId="0" applyFont="1" applyFill="1" applyBorder="1" applyAlignment="1">
      <alignment vertical="center" shrinkToFit="1"/>
    </xf>
    <xf numFmtId="0" fontId="0" fillId="3" borderId="0" xfId="0" applyFill="1">
      <alignment vertical="center"/>
    </xf>
    <xf numFmtId="178" fontId="0" fillId="3" borderId="0" xfId="0" applyNumberFormat="1" applyFill="1">
      <alignment vertical="center"/>
    </xf>
    <xf numFmtId="0" fontId="0" fillId="3" borderId="0" xfId="0" applyFill="1" applyAlignment="1">
      <alignment horizontal="center" vertical="center"/>
    </xf>
    <xf numFmtId="178" fontId="0" fillId="4" borderId="0" xfId="0" applyNumberFormat="1" applyFill="1">
      <alignment vertical="center"/>
    </xf>
    <xf numFmtId="0" fontId="9" fillId="3" borderId="0" xfId="0" applyFont="1" applyFill="1">
      <alignment vertical="center"/>
    </xf>
    <xf numFmtId="176" fontId="2" fillId="0" borderId="27" xfId="0" applyNumberFormat="1" applyFont="1" applyFill="1" applyBorder="1" applyAlignment="1">
      <alignment horizontal="right" vertical="center"/>
    </xf>
    <xf numFmtId="0" fontId="2" fillId="0" borderId="28" xfId="0" applyFont="1" applyFill="1" applyBorder="1" applyAlignment="1">
      <alignment horizontal="center" vertical="center"/>
    </xf>
    <xf numFmtId="0" fontId="2" fillId="0" borderId="28" xfId="0" applyFont="1" applyFill="1" applyBorder="1" applyAlignment="1">
      <alignment horizontal="left" vertical="center" shrinkToFit="1"/>
    </xf>
    <xf numFmtId="0" fontId="2" fillId="0" borderId="28" xfId="0" applyFont="1" applyFill="1" applyBorder="1" applyAlignment="1">
      <alignment vertical="center" shrinkToFit="1"/>
    </xf>
    <xf numFmtId="180" fontId="2" fillId="0" borderId="29" xfId="0" applyNumberFormat="1" applyFont="1" applyFill="1" applyBorder="1">
      <alignment vertical="center"/>
    </xf>
    <xf numFmtId="14" fontId="0" fillId="4" borderId="0" xfId="0" applyNumberFormat="1" applyFill="1">
      <alignment vertical="center"/>
    </xf>
    <xf numFmtId="0" fontId="0" fillId="0" borderId="37" xfId="0" applyBorder="1" applyAlignment="1">
      <alignment horizontal="center" vertical="center" shrinkToFit="1"/>
    </xf>
    <xf numFmtId="0" fontId="0" fillId="0" borderId="38" xfId="0" applyBorder="1" applyAlignment="1">
      <alignment horizontal="center" vertical="center" shrinkToFit="1"/>
    </xf>
    <xf numFmtId="0" fontId="0" fillId="0" borderId="39" xfId="0" applyBorder="1" applyAlignment="1">
      <alignment horizontal="center" vertical="center" shrinkToFit="1"/>
    </xf>
    <xf numFmtId="0" fontId="0" fillId="0" borderId="40" xfId="0" applyBorder="1">
      <alignment vertical="center"/>
    </xf>
    <xf numFmtId="184" fontId="0" fillId="0" borderId="41" xfId="0" applyNumberFormat="1" applyBorder="1">
      <alignment vertical="center"/>
    </xf>
    <xf numFmtId="182" fontId="0" fillId="0" borderId="41" xfId="0" applyNumberFormat="1" applyBorder="1">
      <alignment vertical="center"/>
    </xf>
    <xf numFmtId="0" fontId="0" fillId="0" borderId="43" xfId="0" applyBorder="1" applyAlignment="1">
      <alignment horizontal="center" vertical="center"/>
    </xf>
    <xf numFmtId="0" fontId="0" fillId="0" borderId="47" xfId="0" applyBorder="1" applyAlignment="1">
      <alignment horizontal="center" vertical="center" shrinkToFit="1"/>
    </xf>
    <xf numFmtId="0" fontId="2" fillId="0" borderId="0" xfId="0" applyFont="1" applyFill="1" applyAlignment="1">
      <alignment horizontal="center" vertical="center"/>
    </xf>
    <xf numFmtId="186" fontId="0" fillId="0" borderId="41" xfId="0" applyNumberFormat="1" applyBorder="1">
      <alignment vertical="center"/>
    </xf>
    <xf numFmtId="0" fontId="0" fillId="0" borderId="17" xfId="0" applyBorder="1" applyAlignment="1">
      <alignment horizontal="centerContinuous" vertical="center"/>
    </xf>
    <xf numFmtId="0" fontId="0" fillId="0" borderId="19" xfId="0" applyBorder="1" applyAlignment="1">
      <alignment horizontal="centerContinuous" vertical="center"/>
    </xf>
    <xf numFmtId="176" fontId="2" fillId="0" borderId="7" xfId="0" applyNumberFormat="1" applyFont="1" applyFill="1" applyBorder="1" applyAlignment="1">
      <alignment horizontal="right" vertical="center"/>
    </xf>
    <xf numFmtId="0" fontId="2" fillId="0" borderId="0" xfId="0" applyFont="1" applyBorder="1" applyAlignment="1">
      <alignment horizontal="center" vertical="center"/>
    </xf>
    <xf numFmtId="181" fontId="2" fillId="0" borderId="0" xfId="0" applyNumberFormat="1" applyFont="1" applyBorder="1">
      <alignment vertical="center"/>
    </xf>
    <xf numFmtId="177" fontId="2" fillId="0" borderId="0" xfId="0" applyNumberFormat="1" applyFont="1" applyBorder="1" applyAlignment="1">
      <alignment vertical="center"/>
    </xf>
    <xf numFmtId="182" fontId="2" fillId="0" borderId="0" xfId="0" applyNumberFormat="1" applyFont="1" applyBorder="1">
      <alignment vertical="center"/>
    </xf>
    <xf numFmtId="183" fontId="2" fillId="0" borderId="0" xfId="0" applyNumberFormat="1" applyFont="1" applyBorder="1">
      <alignment vertical="center"/>
    </xf>
    <xf numFmtId="185" fontId="0" fillId="0" borderId="0" xfId="0" applyNumberFormat="1" applyFont="1">
      <alignment vertical="center"/>
    </xf>
    <xf numFmtId="176" fontId="0" fillId="0" borderId="7" xfId="0" applyNumberFormat="1" applyFill="1" applyBorder="1">
      <alignment vertical="center"/>
    </xf>
    <xf numFmtId="0" fontId="0" fillId="0" borderId="7" xfId="0" applyFill="1" applyBorder="1">
      <alignment vertical="center"/>
    </xf>
    <xf numFmtId="182" fontId="0" fillId="0" borderId="45" xfId="0" applyNumberFormat="1" applyBorder="1">
      <alignment vertical="center"/>
    </xf>
    <xf numFmtId="181" fontId="0" fillId="0" borderId="0" xfId="0" applyNumberFormat="1" applyFont="1">
      <alignment vertical="center"/>
    </xf>
    <xf numFmtId="0" fontId="0" fillId="0" borderId="0" xfId="0" applyFont="1" applyAlignment="1">
      <alignment horizontal="right" vertical="center"/>
    </xf>
    <xf numFmtId="0" fontId="0" fillId="0" borderId="37" xfId="0" applyBorder="1" applyAlignment="1">
      <alignment horizontal="left" vertical="center" shrinkToFit="1"/>
    </xf>
    <xf numFmtId="182" fontId="0" fillId="0" borderId="38" xfId="0" applyNumberFormat="1" applyBorder="1" applyAlignment="1">
      <alignment horizontal="right" vertical="center" shrinkToFit="1"/>
    </xf>
    <xf numFmtId="0" fontId="0" fillId="0" borderId="49" xfId="0" applyBorder="1" applyAlignment="1">
      <alignment horizontal="center" vertical="center" shrinkToFit="1"/>
    </xf>
    <xf numFmtId="184" fontId="0" fillId="0" borderId="38" xfId="0" applyNumberFormat="1" applyBorder="1">
      <alignment vertical="center"/>
    </xf>
    <xf numFmtId="186" fontId="0" fillId="0" borderId="38" xfId="0" applyNumberFormat="1" applyBorder="1">
      <alignment vertical="center"/>
    </xf>
    <xf numFmtId="0" fontId="0" fillId="0" borderId="44" xfId="0" applyBorder="1" applyAlignment="1">
      <alignment horizontal="centerContinuous" vertical="center"/>
    </xf>
    <xf numFmtId="0" fontId="0" fillId="0" borderId="48" xfId="0" applyBorder="1" applyAlignment="1">
      <alignment horizontal="centerContinuous" vertical="center"/>
    </xf>
    <xf numFmtId="0" fontId="0" fillId="0" borderId="45" xfId="0" applyBorder="1" applyAlignment="1">
      <alignment horizontal="centerContinuous" vertical="center"/>
    </xf>
    <xf numFmtId="181" fontId="0" fillId="0" borderId="38" xfId="0" applyNumberFormat="1" applyBorder="1" applyAlignment="1">
      <alignment horizontal="right" vertical="center" shrinkToFit="1"/>
    </xf>
    <xf numFmtId="181" fontId="0" fillId="0" borderId="41" xfId="0" applyNumberFormat="1" applyBorder="1">
      <alignment vertical="center"/>
    </xf>
    <xf numFmtId="181" fontId="0" fillId="0" borderId="42" xfId="0" applyNumberFormat="1" applyBorder="1">
      <alignment vertical="center"/>
    </xf>
    <xf numFmtId="181" fontId="0" fillId="0" borderId="45" xfId="0" applyNumberFormat="1" applyBorder="1">
      <alignment vertical="center"/>
    </xf>
    <xf numFmtId="181" fontId="0" fillId="0" borderId="46" xfId="0" applyNumberFormat="1" applyBorder="1">
      <alignment vertical="center"/>
    </xf>
    <xf numFmtId="181" fontId="0" fillId="0" borderId="41" xfId="0" applyNumberFormat="1" applyFill="1" applyBorder="1">
      <alignment vertical="center"/>
    </xf>
    <xf numFmtId="0" fontId="0" fillId="0" borderId="40" xfId="0" applyBorder="1" applyAlignment="1">
      <alignment vertical="center" shrinkToFit="1"/>
    </xf>
    <xf numFmtId="0" fontId="0" fillId="0" borderId="50" xfId="0" applyBorder="1" applyAlignment="1">
      <alignment horizontal="centerContinuous" vertical="center"/>
    </xf>
    <xf numFmtId="181" fontId="0" fillId="0" borderId="51" xfId="0" applyNumberFormat="1" applyBorder="1" applyAlignment="1">
      <alignment vertical="center"/>
    </xf>
    <xf numFmtId="182" fontId="0" fillId="0" borderId="51" xfId="0" applyNumberFormat="1" applyBorder="1">
      <alignment vertical="center"/>
    </xf>
    <xf numFmtId="187" fontId="0" fillId="0" borderId="41" xfId="0" applyNumberFormat="1" applyBorder="1">
      <alignment vertical="center"/>
    </xf>
    <xf numFmtId="183" fontId="2" fillId="0" borderId="0" xfId="0" applyNumberFormat="1" applyFont="1" applyBorder="1" applyAlignment="1">
      <alignment horizontal="center" vertical="center"/>
    </xf>
    <xf numFmtId="0" fontId="2" fillId="0" borderId="52" xfId="0" applyFont="1" applyBorder="1" applyAlignment="1">
      <alignment horizontal="right" vertical="center"/>
    </xf>
    <xf numFmtId="183" fontId="2" fillId="0" borderId="53" xfId="0" applyNumberFormat="1" applyFont="1" applyBorder="1" applyAlignment="1">
      <alignment horizontal="right" vertical="center"/>
    </xf>
    <xf numFmtId="183" fontId="2" fillId="0" borderId="20" xfId="0" applyNumberFormat="1" applyFont="1" applyBorder="1" applyAlignment="1">
      <alignment horizontal="right" vertical="center"/>
    </xf>
    <xf numFmtId="183" fontId="2" fillId="4" borderId="20" xfId="0" applyNumberFormat="1" applyFont="1" applyFill="1" applyBorder="1" applyAlignment="1">
      <alignment vertical="center"/>
    </xf>
    <xf numFmtId="0" fontId="2" fillId="4" borderId="16" xfId="0" applyFont="1" applyFill="1" applyBorder="1" applyAlignment="1">
      <alignment horizontal="center" vertical="center"/>
    </xf>
    <xf numFmtId="183" fontId="2" fillId="4" borderId="16" xfId="0" applyNumberFormat="1" applyFont="1" applyFill="1" applyBorder="1" applyAlignment="1">
      <alignment vertical="center"/>
    </xf>
    <xf numFmtId="0" fontId="2" fillId="4" borderId="15" xfId="0" applyFont="1" applyFill="1" applyBorder="1" applyAlignment="1">
      <alignment horizontal="center" vertical="center"/>
    </xf>
    <xf numFmtId="183" fontId="2" fillId="4" borderId="20" xfId="0" applyNumberFormat="1" applyFont="1" applyFill="1" applyBorder="1" applyAlignment="1">
      <alignment horizontal="right" vertical="center"/>
    </xf>
    <xf numFmtId="0" fontId="2" fillId="4" borderId="16" xfId="0" applyFont="1" applyFill="1" applyBorder="1">
      <alignment vertical="center"/>
    </xf>
    <xf numFmtId="183" fontId="2" fillId="4" borderId="16" xfId="0" applyNumberFormat="1" applyFont="1" applyFill="1" applyBorder="1" applyAlignment="1">
      <alignment horizontal="right" vertical="center"/>
    </xf>
    <xf numFmtId="0" fontId="2" fillId="4" borderId="15" xfId="0" applyFont="1" applyFill="1" applyBorder="1">
      <alignment vertical="center"/>
    </xf>
    <xf numFmtId="183" fontId="2" fillId="4" borderId="20" xfId="0" applyNumberFormat="1" applyFont="1" applyFill="1" applyBorder="1">
      <alignment vertical="center"/>
    </xf>
    <xf numFmtId="183" fontId="2" fillId="4" borderId="0" xfId="0" applyNumberFormat="1" applyFont="1" applyFill="1" applyBorder="1">
      <alignment vertical="center"/>
    </xf>
    <xf numFmtId="0" fontId="2" fillId="5" borderId="16" xfId="0" applyFont="1" applyFill="1" applyBorder="1">
      <alignment vertical="center"/>
    </xf>
    <xf numFmtId="183" fontId="2" fillId="5" borderId="16" xfId="0" applyNumberFormat="1" applyFont="1" applyFill="1" applyBorder="1" applyAlignment="1">
      <alignment horizontal="right" vertical="center"/>
    </xf>
    <xf numFmtId="0" fontId="4"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182" fontId="2" fillId="0" borderId="41" xfId="0" applyNumberFormat="1" applyFont="1" applyBorder="1" applyAlignment="1">
      <alignment horizontal="right" vertical="center"/>
    </xf>
    <xf numFmtId="31" fontId="2" fillId="0" borderId="0" xfId="0" applyNumberFormat="1" applyFont="1">
      <alignment vertical="center"/>
    </xf>
    <xf numFmtId="0" fontId="10" fillId="0" borderId="0" xfId="0" applyFont="1" applyAlignment="1">
      <alignment horizontal="right" vertical="center"/>
    </xf>
    <xf numFmtId="0" fontId="14" fillId="0" borderId="0" xfId="0" applyFont="1">
      <alignment vertical="center"/>
    </xf>
    <xf numFmtId="185" fontId="2" fillId="0" borderId="0" xfId="0" applyNumberFormat="1" applyFont="1">
      <alignment vertical="center"/>
    </xf>
    <xf numFmtId="181" fontId="2" fillId="0" borderId="0" xfId="0" applyNumberFormat="1" applyFont="1">
      <alignment vertical="center"/>
    </xf>
    <xf numFmtId="0" fontId="0" fillId="0" borderId="2" xfId="0" applyFont="1" applyFill="1" applyBorder="1">
      <alignment vertical="center"/>
    </xf>
    <xf numFmtId="189" fontId="0" fillId="0" borderId="0" xfId="0" applyNumberFormat="1" applyFont="1" applyAlignment="1">
      <alignment horizontal="right" vertical="center"/>
    </xf>
    <xf numFmtId="189" fontId="0" fillId="0" borderId="0" xfId="0" applyNumberFormat="1" applyFont="1">
      <alignment vertical="center"/>
    </xf>
    <xf numFmtId="0" fontId="4" fillId="0" borderId="0" xfId="0" applyFont="1" applyAlignment="1">
      <alignment horizontal="center" vertical="center"/>
    </xf>
    <xf numFmtId="178" fontId="0" fillId="2" borderId="0" xfId="0" applyNumberFormat="1" applyFont="1" applyFill="1">
      <alignment vertical="center"/>
    </xf>
    <xf numFmtId="0" fontId="0" fillId="2" borderId="0" xfId="0" applyFont="1" applyFill="1">
      <alignment vertical="center"/>
    </xf>
    <xf numFmtId="0" fontId="2" fillId="0" borderId="0" xfId="0" applyFont="1" applyFill="1" applyBorder="1" applyAlignment="1">
      <alignment horizontal="center" vertical="center" shrinkToFit="1"/>
    </xf>
    <xf numFmtId="0" fontId="2" fillId="0" borderId="0" xfId="0" applyFont="1" applyFill="1" applyAlignment="1">
      <alignment horizontal="center" vertical="center" shrinkToFit="1"/>
    </xf>
    <xf numFmtId="0" fontId="10" fillId="0" borderId="0" xfId="0" applyFont="1" applyFill="1" applyAlignment="1">
      <alignment horizontal="center" vertical="center" shrinkToFit="1"/>
    </xf>
    <xf numFmtId="0" fontId="2" fillId="0" borderId="33" xfId="0" applyFont="1" applyBorder="1">
      <alignment vertical="center"/>
    </xf>
    <xf numFmtId="180" fontId="2" fillId="0" borderId="13" xfId="0" applyNumberFormat="1" applyFont="1" applyBorder="1" applyAlignment="1">
      <alignment horizontal="center" vertical="center"/>
    </xf>
    <xf numFmtId="0" fontId="2" fillId="0" borderId="13" xfId="0" applyFont="1" applyBorder="1">
      <alignment vertical="center"/>
    </xf>
    <xf numFmtId="0" fontId="2" fillId="0" borderId="12" xfId="0" applyFont="1" applyFill="1" applyBorder="1" applyAlignment="1">
      <alignment horizontal="center" vertical="center" shrinkToFit="1"/>
    </xf>
    <xf numFmtId="0" fontId="2" fillId="0" borderId="12" xfId="0" applyFont="1" applyBorder="1" applyAlignment="1">
      <alignment horizontal="center" vertical="center"/>
    </xf>
    <xf numFmtId="0" fontId="2" fillId="0" borderId="12" xfId="0" applyFont="1" applyBorder="1">
      <alignment vertical="center"/>
    </xf>
    <xf numFmtId="180" fontId="2" fillId="0" borderId="33" xfId="0" applyNumberFormat="1" applyFont="1" applyBorder="1" applyAlignment="1">
      <alignment horizontal="center" vertical="center"/>
    </xf>
    <xf numFmtId="180" fontId="2" fillId="0" borderId="12" xfId="0" applyNumberFormat="1" applyFont="1" applyBorder="1" applyAlignment="1">
      <alignment horizontal="center" vertical="center"/>
    </xf>
    <xf numFmtId="0" fontId="3" fillId="0" borderId="33" xfId="0" applyFont="1" applyFill="1" applyBorder="1" applyAlignment="1">
      <alignment horizontal="center" vertical="center" shrinkToFit="1"/>
    </xf>
    <xf numFmtId="0" fontId="0" fillId="0" borderId="13" xfId="0" applyBorder="1">
      <alignment vertical="center"/>
    </xf>
    <xf numFmtId="0" fontId="3" fillId="0" borderId="12" xfId="0" applyFont="1" applyFill="1" applyBorder="1" applyAlignment="1">
      <alignment horizontal="center" vertical="center" shrinkToFit="1"/>
    </xf>
    <xf numFmtId="0" fontId="2" fillId="0" borderId="33" xfId="0" applyFont="1" applyFill="1" applyBorder="1" applyAlignment="1">
      <alignment vertical="center" shrinkToFit="1"/>
    </xf>
    <xf numFmtId="0" fontId="2" fillId="0" borderId="13" xfId="0" applyFont="1" applyFill="1" applyBorder="1" applyAlignment="1">
      <alignment vertical="center" shrinkToFit="1"/>
    </xf>
    <xf numFmtId="0" fontId="2" fillId="0" borderId="12" xfId="0" applyFont="1" applyFill="1" applyBorder="1" applyAlignment="1">
      <alignment vertical="center" shrinkToFit="1"/>
    </xf>
    <xf numFmtId="180" fontId="10" fillId="0" borderId="12" xfId="0" applyNumberFormat="1" applyFont="1" applyBorder="1" applyAlignment="1">
      <alignment horizontal="center" vertical="center"/>
    </xf>
    <xf numFmtId="0" fontId="5" fillId="4" borderId="0" xfId="0" applyFont="1" applyFill="1" applyAlignment="1">
      <alignment horizontal="left" vertical="center"/>
    </xf>
    <xf numFmtId="0" fontId="0" fillId="2" borderId="54" xfId="0" applyFill="1" applyBorder="1" applyAlignment="1">
      <alignment horizontal="centerContinuous" vertical="center"/>
    </xf>
    <xf numFmtId="0" fontId="0" fillId="2" borderId="19" xfId="0" applyFill="1" applyBorder="1" applyAlignment="1">
      <alignment horizontal="centerContinuous" vertical="center"/>
    </xf>
    <xf numFmtId="0" fontId="0" fillId="2" borderId="43" xfId="0" applyFill="1" applyBorder="1" applyAlignment="1">
      <alignment horizontal="centerContinuous" vertical="center"/>
    </xf>
    <xf numFmtId="180" fontId="0" fillId="2" borderId="41" xfId="0" applyNumberFormat="1" applyFill="1" applyBorder="1">
      <alignment vertical="center"/>
    </xf>
    <xf numFmtId="0" fontId="0" fillId="2" borderId="41" xfId="0" applyFill="1" applyBorder="1">
      <alignment vertical="center"/>
    </xf>
    <xf numFmtId="0" fontId="0" fillId="4" borderId="55" xfId="0" applyFill="1" applyBorder="1">
      <alignment vertical="center"/>
    </xf>
    <xf numFmtId="0" fontId="0" fillId="4" borderId="56" xfId="0" applyFill="1" applyBorder="1">
      <alignment vertical="center"/>
    </xf>
    <xf numFmtId="0" fontId="0" fillId="4" borderId="51" xfId="0" applyFill="1" applyBorder="1">
      <alignment vertical="center"/>
    </xf>
    <xf numFmtId="0" fontId="0" fillId="4" borderId="0" xfId="0" applyFill="1">
      <alignment vertical="center"/>
    </xf>
    <xf numFmtId="0" fontId="0" fillId="4" borderId="0" xfId="0" applyFill="1" applyAlignment="1">
      <alignment horizontal="center" vertical="center"/>
    </xf>
    <xf numFmtId="180" fontId="0" fillId="2" borderId="54" xfId="0" applyNumberFormat="1" applyFill="1" applyBorder="1">
      <alignment vertical="center"/>
    </xf>
    <xf numFmtId="0" fontId="0" fillId="2" borderId="54" xfId="0" applyFill="1" applyBorder="1">
      <alignment vertical="center"/>
    </xf>
    <xf numFmtId="0" fontId="0" fillId="0" borderId="57" xfId="0" applyFill="1" applyBorder="1">
      <alignment vertical="center"/>
    </xf>
    <xf numFmtId="0" fontId="0" fillId="0" borderId="57" xfId="0" applyFill="1" applyBorder="1" applyAlignment="1">
      <alignment vertical="center"/>
    </xf>
    <xf numFmtId="190" fontId="2" fillId="0" borderId="0" xfId="0" applyNumberFormat="1" applyFont="1">
      <alignment vertical="center"/>
    </xf>
    <xf numFmtId="190" fontId="0" fillId="0" borderId="0" xfId="0" applyNumberFormat="1">
      <alignment vertical="center"/>
    </xf>
    <xf numFmtId="190" fontId="2" fillId="0" borderId="0" xfId="0" applyNumberFormat="1" applyFont="1" applyFill="1">
      <alignment vertical="center"/>
    </xf>
    <xf numFmtId="190" fontId="2" fillId="0" borderId="0" xfId="0" applyNumberFormat="1" applyFont="1" applyAlignment="1">
      <alignment horizontal="right" vertical="center"/>
    </xf>
    <xf numFmtId="0" fontId="2" fillId="0" borderId="0" xfId="0" applyFont="1" applyAlignment="1">
      <alignment horizontal="centerContinuous" vertical="center"/>
    </xf>
    <xf numFmtId="183" fontId="2" fillId="0" borderId="0" xfId="0" applyNumberFormat="1" applyFont="1" applyAlignment="1">
      <alignment horizontal="centerContinuous" vertical="center"/>
    </xf>
    <xf numFmtId="0" fontId="2" fillId="0" borderId="41" xfId="0" applyFont="1" applyBorder="1" applyAlignment="1">
      <alignment horizontal="right" vertical="center"/>
    </xf>
    <xf numFmtId="183" fontId="2" fillId="0" borderId="56" xfId="0" applyNumberFormat="1" applyFont="1" applyBorder="1" applyAlignment="1">
      <alignment horizontal="right" vertical="center"/>
    </xf>
    <xf numFmtId="183" fontId="2" fillId="0" borderId="58" xfId="0" applyNumberFormat="1" applyFont="1" applyBorder="1" applyAlignment="1">
      <alignment horizontal="right" vertical="center"/>
    </xf>
    <xf numFmtId="0" fontId="2" fillId="0" borderId="34" xfId="0" applyFont="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6" fillId="0" borderId="0" xfId="0" applyFont="1" applyBorder="1" applyAlignment="1">
      <alignment horizontal="left" vertical="center"/>
    </xf>
    <xf numFmtId="0" fontId="5" fillId="0" borderId="6" xfId="0" applyFont="1" applyBorder="1" applyAlignment="1">
      <alignment horizontal="left" vertical="center" wrapText="1"/>
    </xf>
    <xf numFmtId="0" fontId="0" fillId="0" borderId="6" xfId="0" applyBorder="1" applyAlignment="1">
      <alignment horizontal="left" vertical="center" wrapText="1"/>
    </xf>
    <xf numFmtId="0" fontId="18" fillId="0" borderId="9" xfId="0" applyFont="1" applyFill="1" applyBorder="1" applyAlignment="1">
      <alignment horizontal="center" vertical="center"/>
    </xf>
    <xf numFmtId="180" fontId="10" fillId="0" borderId="33" xfId="0" applyNumberFormat="1" applyFont="1" applyBorder="1" applyAlignment="1">
      <alignment horizontal="center" vertical="center"/>
    </xf>
    <xf numFmtId="183" fontId="2" fillId="4" borderId="20" xfId="0" applyNumberFormat="1" applyFont="1" applyFill="1" applyBorder="1" applyAlignment="1">
      <alignment vertical="center" shrinkToFit="1"/>
    </xf>
    <xf numFmtId="0" fontId="15" fillId="0" borderId="43" xfId="0" applyFont="1" applyBorder="1" applyAlignment="1">
      <alignment horizontal="center" vertical="center"/>
    </xf>
    <xf numFmtId="184" fontId="15" fillId="0" borderId="41" xfId="0" applyNumberFormat="1" applyFont="1" applyBorder="1">
      <alignment vertical="center"/>
    </xf>
    <xf numFmtId="0" fontId="2" fillId="0" borderId="37" xfId="0" applyFont="1" applyBorder="1" applyAlignment="1">
      <alignment horizontal="center" vertical="center"/>
    </xf>
    <xf numFmtId="0" fontId="2" fillId="0" borderId="40" xfId="0" applyFont="1" applyBorder="1" applyAlignment="1">
      <alignment horizontal="center" vertical="center"/>
    </xf>
    <xf numFmtId="181" fontId="2" fillId="0" borderId="42" xfId="0" applyNumberFormat="1" applyFont="1" applyBorder="1" applyAlignment="1">
      <alignment horizontal="right" vertical="center" shrinkToFit="1"/>
    </xf>
    <xf numFmtId="181" fontId="2" fillId="0" borderId="42" xfId="0" applyNumberFormat="1" applyFont="1" applyBorder="1">
      <alignment vertical="center"/>
    </xf>
    <xf numFmtId="0" fontId="2" fillId="0" borderId="43" xfId="0" applyFont="1" applyBorder="1" applyAlignment="1">
      <alignment horizontal="center" vertical="center"/>
    </xf>
    <xf numFmtId="0" fontId="2" fillId="0" borderId="8" xfId="0" applyFont="1" applyBorder="1" applyAlignment="1">
      <alignment horizontal="center" vertical="center"/>
    </xf>
    <xf numFmtId="0" fontId="2" fillId="0" borderId="59" xfId="0" applyFont="1" applyBorder="1" applyAlignment="1">
      <alignment horizontal="centerContinuous" vertical="center"/>
    </xf>
    <xf numFmtId="0" fontId="2" fillId="0" borderId="49" xfId="0" applyFont="1" applyBorder="1" applyAlignment="1">
      <alignment horizontal="centerContinuous" vertical="center"/>
    </xf>
    <xf numFmtId="0" fontId="2" fillId="0" borderId="60" xfId="0" applyFont="1" applyBorder="1" applyAlignment="1">
      <alignment horizontal="centerContinuous" vertical="center"/>
    </xf>
    <xf numFmtId="0" fontId="2" fillId="0" borderId="61" xfId="0" applyFont="1" applyBorder="1" applyAlignment="1">
      <alignment horizontal="centerContinuous" vertical="center"/>
    </xf>
    <xf numFmtId="0" fontId="2" fillId="0" borderId="1" xfId="0" applyFont="1" applyBorder="1" applyAlignment="1">
      <alignment horizontal="center" vertical="center"/>
    </xf>
    <xf numFmtId="181" fontId="2" fillId="0" borderId="62" xfId="0" applyNumberFormat="1" applyFont="1" applyBorder="1" applyAlignment="1">
      <alignment horizontal="center" vertical="center"/>
    </xf>
    <xf numFmtId="182" fontId="2" fillId="0" borderId="63" xfId="0" applyNumberFormat="1" applyFont="1" applyBorder="1" applyAlignment="1">
      <alignment horizontal="right" vertical="center"/>
    </xf>
    <xf numFmtId="181" fontId="2" fillId="0" borderId="65" xfId="0" applyNumberFormat="1" applyFont="1" applyBorder="1" applyAlignment="1">
      <alignment horizontal="center" vertical="center"/>
    </xf>
    <xf numFmtId="181" fontId="2" fillId="0" borderId="64" xfId="0" applyNumberFormat="1" applyFont="1" applyBorder="1">
      <alignment vertical="center"/>
    </xf>
    <xf numFmtId="0" fontId="2" fillId="0" borderId="38" xfId="0" applyFont="1" applyBorder="1" applyAlignment="1">
      <alignment horizontal="center" vertical="center"/>
    </xf>
    <xf numFmtId="0" fontId="2" fillId="0" borderId="47" xfId="0" applyFont="1" applyBorder="1" applyAlignment="1">
      <alignment horizontal="center" vertical="center"/>
    </xf>
    <xf numFmtId="0" fontId="2" fillId="0" borderId="38" xfId="0" applyFont="1" applyBorder="1" applyAlignment="1">
      <alignment horizontal="center" vertical="center" shrinkToFit="1"/>
    </xf>
    <xf numFmtId="0" fontId="2" fillId="0" borderId="39" xfId="0" applyFont="1" applyBorder="1" applyAlignment="1">
      <alignment horizontal="center" vertical="center" shrinkToFit="1"/>
    </xf>
    <xf numFmtId="0" fontId="2" fillId="0" borderId="66" xfId="0" applyFont="1" applyBorder="1" applyAlignment="1">
      <alignment horizontal="center" vertical="center"/>
    </xf>
    <xf numFmtId="0" fontId="2" fillId="0" borderId="67" xfId="0" applyFont="1" applyBorder="1" applyAlignment="1">
      <alignment horizontal="center" vertical="center"/>
    </xf>
    <xf numFmtId="182" fontId="2" fillId="0" borderId="68" xfId="0" applyNumberFormat="1" applyFont="1" applyBorder="1" applyAlignment="1">
      <alignment horizontal="right" vertical="center"/>
    </xf>
    <xf numFmtId="0" fontId="2" fillId="0" borderId="69" xfId="0" applyFont="1" applyBorder="1" applyAlignment="1">
      <alignment horizontal="center" vertical="center"/>
    </xf>
    <xf numFmtId="181" fontId="2" fillId="0" borderId="70" xfId="0" applyNumberFormat="1" applyFont="1" applyBorder="1">
      <alignment vertical="center"/>
    </xf>
    <xf numFmtId="0" fontId="2" fillId="0" borderId="0" xfId="0" applyFont="1" applyAlignment="1">
      <alignment horizontal="right"/>
    </xf>
    <xf numFmtId="191" fontId="2" fillId="0" borderId="0" xfId="0" applyNumberFormat="1" applyFont="1">
      <alignment vertical="center"/>
    </xf>
    <xf numFmtId="0" fontId="0" fillId="0" borderId="12" xfId="0" applyBorder="1" applyAlignment="1">
      <alignment horizontal="center" vertical="center"/>
    </xf>
    <xf numFmtId="182" fontId="10" fillId="0" borderId="9" xfId="0" applyNumberFormat="1" applyFont="1" applyBorder="1" applyAlignment="1">
      <alignment horizontal="right" vertical="center"/>
    </xf>
    <xf numFmtId="182" fontId="10" fillId="0" borderId="0" xfId="0" applyNumberFormat="1" applyFont="1" applyBorder="1" applyAlignment="1">
      <alignment horizontal="right" vertical="center"/>
    </xf>
    <xf numFmtId="0" fontId="2" fillId="0" borderId="7" xfId="0" applyFont="1" applyFill="1" applyBorder="1" applyAlignment="1">
      <alignment horizontal="center" vertical="center"/>
    </xf>
    <xf numFmtId="0" fontId="10" fillId="0" borderId="2" xfId="0" applyFont="1" applyBorder="1" applyAlignment="1">
      <alignment horizontal="right" vertical="center"/>
    </xf>
    <xf numFmtId="181" fontId="10" fillId="0" borderId="9" xfId="0" applyNumberFormat="1" applyFont="1" applyBorder="1" applyAlignment="1">
      <alignment horizontal="right" vertical="center"/>
    </xf>
    <xf numFmtId="181" fontId="10" fillId="0" borderId="0" xfId="0" applyNumberFormat="1" applyFont="1" applyBorder="1" applyAlignment="1">
      <alignment horizontal="right" vertical="center"/>
    </xf>
    <xf numFmtId="181" fontId="10" fillId="0" borderId="9" xfId="0" applyNumberFormat="1" applyFont="1" applyBorder="1">
      <alignment vertical="center"/>
    </xf>
    <xf numFmtId="183" fontId="2" fillId="0" borderId="77" xfId="0" applyNumberFormat="1" applyFont="1" applyBorder="1">
      <alignment vertical="center"/>
    </xf>
    <xf numFmtId="191" fontId="2" fillId="0" borderId="0" xfId="0" applyNumberFormat="1" applyFont="1" applyFill="1" applyBorder="1">
      <alignment vertical="center"/>
    </xf>
    <xf numFmtId="183" fontId="2" fillId="0" borderId="0" xfId="0" applyNumberFormat="1" applyFont="1" applyFill="1">
      <alignment vertical="center"/>
    </xf>
    <xf numFmtId="183" fontId="2" fillId="0" borderId="0" xfId="0" applyNumberFormat="1" applyFont="1" applyFill="1" applyAlignment="1">
      <alignment horizontal="right" vertical="center"/>
    </xf>
    <xf numFmtId="183" fontId="2" fillId="0" borderId="0" xfId="0" applyNumberFormat="1" applyFont="1" applyFill="1" applyAlignment="1">
      <alignment horizontal="right" vertical="center" shrinkToFit="1"/>
    </xf>
    <xf numFmtId="181" fontId="20" fillId="0" borderId="39" xfId="0" applyNumberFormat="1" applyFont="1" applyBorder="1" applyAlignment="1">
      <alignment horizontal="right" vertical="center" shrinkToFit="1"/>
    </xf>
    <xf numFmtId="0" fontId="14" fillId="0" borderId="0" xfId="0" applyFont="1" applyBorder="1" applyAlignment="1">
      <alignment horizontal="center" vertical="center"/>
    </xf>
    <xf numFmtId="0" fontId="14" fillId="0" borderId="0" xfId="0" applyFont="1" applyBorder="1">
      <alignment vertical="center"/>
    </xf>
    <xf numFmtId="0" fontId="0" fillId="0" borderId="0" xfId="0" applyBorder="1" applyAlignment="1">
      <alignment horizontal="center" vertical="center" shrinkToFit="1"/>
    </xf>
    <xf numFmtId="0" fontId="0" fillId="0" borderId="0" xfId="0" applyBorder="1" applyAlignment="1">
      <alignment horizontal="center" vertical="center"/>
    </xf>
    <xf numFmtId="184" fontId="0" fillId="0" borderId="0" xfId="0" applyNumberFormat="1" applyBorder="1">
      <alignment vertical="center"/>
    </xf>
    <xf numFmtId="186" fontId="0" fillId="0" borderId="0" xfId="0" applyNumberFormat="1" applyBorder="1">
      <alignment vertical="center"/>
    </xf>
    <xf numFmtId="182" fontId="0" fillId="0" borderId="0" xfId="0" applyNumberFormat="1" applyBorder="1">
      <alignment vertical="center"/>
    </xf>
    <xf numFmtId="185" fontId="0" fillId="0" borderId="0" xfId="0" applyNumberFormat="1" applyBorder="1">
      <alignment vertical="center"/>
    </xf>
    <xf numFmtId="0" fontId="0" fillId="0" borderId="0" xfId="0" applyFont="1" applyBorder="1" applyAlignment="1">
      <alignment horizontal="right" vertical="center"/>
    </xf>
    <xf numFmtId="181" fontId="0" fillId="0" borderId="0" xfId="0" applyNumberFormat="1" applyFont="1" applyBorder="1">
      <alignment vertical="center"/>
    </xf>
    <xf numFmtId="187" fontId="0" fillId="0" borderId="0" xfId="0" applyNumberFormat="1" applyBorder="1">
      <alignment vertical="center"/>
    </xf>
    <xf numFmtId="188" fontId="0" fillId="0" borderId="0" xfId="0" applyNumberFormat="1" applyBorder="1">
      <alignment vertical="center"/>
    </xf>
    <xf numFmtId="0" fontId="0" fillId="0" borderId="0" xfId="0" applyBorder="1" applyAlignment="1">
      <alignment horizontal="centerContinuous" vertical="center"/>
    </xf>
    <xf numFmtId="187" fontId="0" fillId="0" borderId="0" xfId="0" applyNumberFormat="1" applyBorder="1" applyAlignment="1">
      <alignment horizontal="centerContinuous" vertical="center"/>
    </xf>
    <xf numFmtId="186" fontId="0" fillId="0" borderId="0" xfId="0" applyNumberFormat="1" applyBorder="1" applyAlignment="1">
      <alignment horizontal="centerContinuous" vertical="center"/>
    </xf>
    <xf numFmtId="0" fontId="0" fillId="0" borderId="0" xfId="0" applyFill="1" applyBorder="1" applyAlignment="1">
      <alignment horizontal="centerContinuous" vertical="center"/>
    </xf>
    <xf numFmtId="188" fontId="0" fillId="0" borderId="0" xfId="0" applyNumberFormat="1" applyBorder="1" applyAlignment="1">
      <alignment horizontal="centerContinuous" vertical="center"/>
    </xf>
    <xf numFmtId="185" fontId="0" fillId="0" borderId="0" xfId="0" applyNumberFormat="1" applyBorder="1" applyAlignment="1">
      <alignment horizontal="centerContinuous" vertical="center"/>
    </xf>
    <xf numFmtId="0" fontId="19" fillId="0" borderId="0" xfId="0" applyFont="1" applyBorder="1">
      <alignment vertical="center"/>
    </xf>
    <xf numFmtId="189" fontId="0" fillId="0" borderId="0" xfId="0" applyNumberFormat="1" applyBorder="1">
      <alignment vertical="center"/>
    </xf>
    <xf numFmtId="189" fontId="0" fillId="0" borderId="0" xfId="0" applyNumberFormat="1" applyBorder="1" applyAlignment="1">
      <alignment horizontal="centerContinuous" vertical="center"/>
    </xf>
    <xf numFmtId="20" fontId="2" fillId="0" borderId="33" xfId="0" applyNumberFormat="1" applyFont="1" applyFill="1" applyBorder="1" applyAlignment="1">
      <alignment horizontal="center" vertical="center" shrinkToFit="1"/>
    </xf>
    <xf numFmtId="0" fontId="2" fillId="0" borderId="8" xfId="0" applyFont="1" applyFill="1" applyBorder="1" applyAlignment="1">
      <alignment horizontal="center" vertical="center"/>
    </xf>
    <xf numFmtId="188" fontId="2" fillId="0" borderId="9" xfId="0" applyNumberFormat="1" applyFont="1" applyBorder="1" applyAlignment="1">
      <alignment horizontal="right" vertical="center"/>
    </xf>
    <xf numFmtId="188" fontId="2" fillId="0" borderId="6" xfId="0" applyNumberFormat="1" applyFont="1" applyBorder="1" applyAlignment="1">
      <alignment horizontal="right" vertical="center"/>
    </xf>
    <xf numFmtId="0" fontId="8" fillId="0" borderId="0" xfId="0" applyFont="1" applyAlignment="1">
      <alignment horizontal="center" vertical="center"/>
    </xf>
    <xf numFmtId="183" fontId="2" fillId="0" borderId="0" xfId="0" applyNumberFormat="1" applyFont="1" applyBorder="1" applyAlignment="1">
      <alignment horizontal="right" vertical="center"/>
    </xf>
    <xf numFmtId="0" fontId="0" fillId="0" borderId="9" xfId="0" applyBorder="1" applyAlignment="1">
      <alignment horizontal="right" vertical="center"/>
    </xf>
    <xf numFmtId="183" fontId="2" fillId="0" borderId="16" xfId="0" applyNumberFormat="1" applyFont="1" applyBorder="1" applyAlignment="1">
      <alignment horizontal="right" vertical="center"/>
    </xf>
    <xf numFmtId="0" fontId="0" fillId="0" borderId="20" xfId="0" applyBorder="1" applyAlignment="1">
      <alignment horizontal="right" vertical="center"/>
    </xf>
    <xf numFmtId="0" fontId="2" fillId="0" borderId="19" xfId="0" applyFont="1" applyBorder="1" applyAlignment="1">
      <alignment horizontal="right" vertical="center" shrinkToFit="1"/>
    </xf>
    <xf numFmtId="0" fontId="0" fillId="0" borderId="18" xfId="0" applyBorder="1" applyAlignment="1">
      <alignment horizontal="right" vertical="center" shrinkToFit="1"/>
    </xf>
    <xf numFmtId="183" fontId="2" fillId="0" borderId="9" xfId="0" applyNumberFormat="1" applyFont="1" applyBorder="1" applyAlignment="1">
      <alignment horizontal="right" vertical="center"/>
    </xf>
    <xf numFmtId="0" fontId="1" fillId="0" borderId="0" xfId="0" applyFont="1" applyAlignment="1">
      <alignment horizontal="center" textRotation="255" wrapText="1"/>
    </xf>
    <xf numFmtId="0" fontId="0" fillId="0" borderId="0" xfId="0" applyAlignment="1">
      <alignment horizontal="center"/>
    </xf>
    <xf numFmtId="0" fontId="17" fillId="0" borderId="0" xfId="0" applyFont="1" applyAlignment="1">
      <alignment horizontal="center" textRotation="255"/>
    </xf>
    <xf numFmtId="0" fontId="15" fillId="0" borderId="0" xfId="0" applyFont="1" applyAlignment="1">
      <alignment horizontal="center"/>
    </xf>
    <xf numFmtId="0" fontId="1" fillId="0" borderId="0" xfId="0" applyFont="1" applyAlignment="1">
      <alignment horizontal="center" textRotation="255"/>
    </xf>
    <xf numFmtId="0" fontId="0" fillId="0" borderId="3" xfId="0" applyFill="1" applyBorder="1" applyAlignment="1">
      <alignment horizontal="center" vertical="center"/>
    </xf>
    <xf numFmtId="0" fontId="0" fillId="0" borderId="5" xfId="0" applyFill="1" applyBorder="1" applyAlignment="1">
      <alignment horizontal="center" vertical="center"/>
    </xf>
    <xf numFmtId="0" fontId="0" fillId="0" borderId="4" xfId="0" applyFill="1" applyBorder="1" applyAlignment="1">
      <alignment horizontal="center" vertical="center"/>
    </xf>
    <xf numFmtId="0" fontId="4" fillId="0" borderId="0" xfId="0" applyFont="1" applyAlignment="1">
      <alignment horizontal="center" vertical="center"/>
    </xf>
    <xf numFmtId="0" fontId="5" fillId="4" borderId="0" xfId="0" applyFont="1" applyFill="1" applyBorder="1" applyAlignment="1">
      <alignment horizontal="left" vertical="center" wrapText="1"/>
    </xf>
    <xf numFmtId="0" fontId="5" fillId="4" borderId="0" xfId="0" applyFont="1" applyFill="1" applyBorder="1" applyAlignment="1">
      <alignment horizontal="left" vertical="center"/>
    </xf>
    <xf numFmtId="0" fontId="6" fillId="4" borderId="0" xfId="0" applyFont="1" applyFill="1" applyBorder="1" applyAlignment="1">
      <alignment horizontal="left" vertical="center"/>
    </xf>
    <xf numFmtId="0" fontId="5" fillId="4" borderId="0" xfId="0" applyFont="1" applyFill="1" applyAlignment="1">
      <alignment horizontal="left" vertical="center" wrapText="1"/>
    </xf>
    <xf numFmtId="0" fontId="0" fillId="0" borderId="1" xfId="0" applyFill="1" applyBorder="1" applyAlignment="1">
      <alignment horizontal="center" vertical="center"/>
    </xf>
    <xf numFmtId="0" fontId="0" fillId="0" borderId="10" xfId="0" applyFill="1"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5" fillId="4" borderId="0" xfId="0" applyFont="1" applyFill="1" applyAlignment="1">
      <alignment vertical="top" wrapText="1"/>
    </xf>
    <xf numFmtId="0" fontId="0" fillId="0" borderId="0" xfId="0" applyAlignment="1">
      <alignment vertical="top" wrapText="1"/>
    </xf>
    <xf numFmtId="0" fontId="5" fillId="4" borderId="0" xfId="0" applyFont="1" applyFill="1" applyAlignment="1">
      <alignment vertical="center" wrapText="1"/>
    </xf>
    <xf numFmtId="0" fontId="0" fillId="0" borderId="0" xfId="0" applyAlignment="1">
      <alignment vertical="center" wrapText="1"/>
    </xf>
    <xf numFmtId="0" fontId="5" fillId="4" borderId="0" xfId="0" applyFont="1" applyFill="1" applyAlignment="1">
      <alignment horizontal="left" vertical="top" wrapText="1"/>
    </xf>
    <xf numFmtId="0" fontId="2" fillId="0" borderId="34" xfId="0" applyFont="1" applyFill="1" applyBorder="1" applyAlignment="1">
      <alignment horizontal="center" vertical="center"/>
    </xf>
    <xf numFmtId="0" fontId="2" fillId="0" borderId="35" xfId="0" applyFont="1" applyFill="1" applyBorder="1" applyAlignment="1">
      <alignment horizontal="center" vertical="center"/>
    </xf>
    <xf numFmtId="0" fontId="2" fillId="0" borderId="36" xfId="0" applyFont="1" applyFill="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0" fontId="0" fillId="0" borderId="14" xfId="0" applyBorder="1" applyAlignment="1">
      <alignment vertical="center"/>
    </xf>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6" fillId="0" borderId="0" xfId="0" applyFont="1" applyBorder="1" applyAlignment="1">
      <alignment horizontal="left" vertical="center"/>
    </xf>
    <xf numFmtId="0" fontId="5" fillId="0" borderId="0" xfId="0" applyFont="1" applyAlignment="1">
      <alignment horizontal="left" vertical="center" wrapText="1"/>
    </xf>
    <xf numFmtId="0" fontId="5" fillId="0" borderId="0" xfId="0" applyFont="1" applyFill="1" applyAlignment="1">
      <alignment horizontal="left" vertical="center" wrapText="1"/>
    </xf>
    <xf numFmtId="0" fontId="5" fillId="5" borderId="0" xfId="0" applyFont="1" applyFill="1" applyAlignment="1">
      <alignment vertical="top" wrapText="1"/>
    </xf>
    <xf numFmtId="0" fontId="0" fillId="5" borderId="0" xfId="0" applyFill="1" applyAlignment="1">
      <alignment vertical="top" wrapText="1"/>
    </xf>
    <xf numFmtId="0" fontId="0" fillId="0" borderId="0" xfId="0" applyAlignment="1">
      <alignment horizontal="left" vertical="center" wrapText="1"/>
    </xf>
    <xf numFmtId="0" fontId="5" fillId="0" borderId="0" xfId="0" applyFont="1" applyBorder="1" applyAlignment="1">
      <alignment horizontal="left" vertical="center" wrapText="1"/>
    </xf>
    <xf numFmtId="0" fontId="0" fillId="0" borderId="0" xfId="0" applyBorder="1" applyAlignment="1">
      <alignment horizontal="left" vertical="center" wrapText="1"/>
    </xf>
    <xf numFmtId="0" fontId="0" fillId="0" borderId="1" xfId="0" applyBorder="1" applyAlignment="1">
      <alignment horizontal="center" vertical="center"/>
    </xf>
    <xf numFmtId="0" fontId="0" fillId="0" borderId="10" xfId="0" applyBorder="1" applyAlignment="1">
      <alignment horizontal="center" vertical="center"/>
    </xf>
    <xf numFmtId="181" fontId="2" fillId="0" borderId="71" xfId="0" applyNumberFormat="1" applyFont="1" applyBorder="1" applyAlignment="1">
      <alignment vertical="center"/>
    </xf>
    <xf numFmtId="0" fontId="0" fillId="0" borderId="72" xfId="0" applyBorder="1" applyAlignment="1">
      <alignment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181" fontId="2" fillId="0" borderId="72" xfId="0" applyNumberFormat="1" applyFont="1" applyBorder="1" applyAlignment="1">
      <alignment vertical="center"/>
    </xf>
    <xf numFmtId="181" fontId="2" fillId="0" borderId="75" xfId="0" applyNumberFormat="1" applyFont="1" applyBorder="1" applyAlignment="1">
      <alignment vertical="center"/>
    </xf>
    <xf numFmtId="181" fontId="2" fillId="0" borderId="76" xfId="0" applyNumberFormat="1" applyFont="1" applyBorder="1" applyAlignment="1">
      <alignment vertical="center"/>
    </xf>
    <xf numFmtId="181" fontId="2" fillId="0" borderId="73" xfId="0" applyNumberFormat="1" applyFont="1" applyBorder="1" applyAlignment="1">
      <alignment vertical="center"/>
    </xf>
    <xf numFmtId="0" fontId="0" fillId="0" borderId="74" xfId="0" applyBorder="1" applyAlignment="1">
      <alignment vertical="center"/>
    </xf>
    <xf numFmtId="0" fontId="2" fillId="0" borderId="7" xfId="0" applyFont="1" applyFill="1" applyBorder="1" applyAlignment="1">
      <alignment horizontal="left" vertical="center"/>
    </xf>
    <xf numFmtId="0" fontId="0" fillId="0" borderId="7" xfId="0" applyBorder="1" applyAlignment="1">
      <alignment horizontal="left" vertical="center"/>
    </xf>
  </cellXfs>
  <cellStyles count="1">
    <cellStyle name="標準" xfId="0" builtinId="0"/>
  </cellStyles>
  <dxfs count="14">
    <dxf>
      <fill>
        <patternFill>
          <bgColor indexed="44"/>
        </patternFill>
      </fill>
    </dxf>
    <dxf>
      <fill>
        <patternFill>
          <bgColor indexed="44"/>
        </patternFill>
      </fill>
    </dxf>
    <dxf>
      <fill>
        <patternFill>
          <bgColor indexed="44"/>
        </patternFill>
      </fill>
    </dxf>
    <dxf>
      <fill>
        <patternFill>
          <bgColor indexed="44"/>
        </patternFill>
      </fill>
    </dxf>
    <dxf>
      <fill>
        <patternFill>
          <bgColor indexed="44"/>
        </patternFill>
      </fill>
    </dxf>
    <dxf>
      <fill>
        <patternFill>
          <bgColor indexed="44"/>
        </patternFill>
      </fill>
    </dxf>
    <dxf>
      <fill>
        <patternFill>
          <bgColor indexed="44"/>
        </patternFill>
      </fill>
    </dxf>
    <dxf>
      <fill>
        <patternFill>
          <bgColor indexed="44"/>
        </patternFill>
      </fill>
    </dxf>
    <dxf>
      <fill>
        <patternFill>
          <bgColor indexed="44"/>
        </patternFill>
      </fill>
    </dxf>
    <dxf>
      <fill>
        <patternFill>
          <bgColor indexed="44"/>
        </patternFill>
      </fill>
    </dxf>
    <dxf>
      <fill>
        <patternFill>
          <bgColor indexed="44"/>
        </patternFill>
      </fill>
    </dxf>
    <dxf>
      <fill>
        <patternFill>
          <bgColor indexed="44"/>
        </patternFill>
      </fill>
    </dxf>
    <dxf>
      <fill>
        <patternFill>
          <bgColor indexed="44"/>
        </patternFill>
      </fill>
    </dxf>
    <dxf>
      <fill>
        <patternFill>
          <fgColor indexed="44"/>
          <bgColor indexed="4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23</xdr:col>
      <xdr:colOff>412749</xdr:colOff>
      <xdr:row>2</xdr:row>
      <xdr:rowOff>1</xdr:rowOff>
    </xdr:from>
    <xdr:to>
      <xdr:col>28</xdr:col>
      <xdr:colOff>179916</xdr:colOff>
      <xdr:row>4</xdr:row>
      <xdr:rowOff>381001</xdr:rowOff>
    </xdr:to>
    <xdr:sp macro="" textlink="">
      <xdr:nvSpPr>
        <xdr:cNvPr id="3" name="四角形吹き出し 2"/>
        <xdr:cNvSpPr/>
      </xdr:nvSpPr>
      <xdr:spPr>
        <a:xfrm>
          <a:off x="9662582" y="444501"/>
          <a:ext cx="2815167" cy="1333500"/>
        </a:xfrm>
        <a:prstGeom prst="wedgeRectCallout">
          <a:avLst>
            <a:gd name="adj1" fmla="val 27663"/>
            <a:gd name="adj2" fmla="val 68691"/>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b="0" cap="none" spc="0">
              <a:ln w="0"/>
              <a:solidFill>
                <a:schemeClr val="tx1"/>
              </a:solidFill>
              <a:effectLst>
                <a:outerShdw blurRad="38100" dist="19050" dir="2700000" algn="tl" rotWithShape="0">
                  <a:schemeClr val="dk1">
                    <a:alpha val="40000"/>
                  </a:schemeClr>
                </a:outerShdw>
              </a:effectLst>
            </a:rPr>
            <a:t>４月分に単価を入力してください。</a:t>
          </a:r>
          <a:endParaRPr kumimoji="1" lang="en-US" altLang="ja-JP" sz="1100" b="0" cap="none" spc="0">
            <a:ln w="0"/>
            <a:solidFill>
              <a:schemeClr val="tx1"/>
            </a:solidFill>
            <a:effectLst>
              <a:outerShdw blurRad="38100" dist="19050" dir="2700000" algn="tl" rotWithShape="0">
                <a:schemeClr val="dk1">
                  <a:alpha val="40000"/>
                </a:schemeClr>
              </a:outerShdw>
            </a:effectLst>
          </a:endParaRPr>
        </a:p>
        <a:p>
          <a:pPr algn="l"/>
          <a:r>
            <a:rPr kumimoji="1" lang="ja-JP" altLang="en-US" sz="1100" b="0" cap="none" spc="0">
              <a:ln w="0"/>
              <a:solidFill>
                <a:schemeClr val="tx1"/>
              </a:solidFill>
              <a:effectLst>
                <a:outerShdw blurRad="38100" dist="19050" dir="2700000" algn="tl" rotWithShape="0">
                  <a:schemeClr val="dk1">
                    <a:alpha val="40000"/>
                  </a:schemeClr>
                </a:outerShdw>
              </a:effectLst>
            </a:rPr>
            <a:t>他の月にも自動入力されます。</a:t>
          </a:r>
          <a:endParaRPr kumimoji="1" lang="en-US" altLang="ja-JP" sz="1100" b="0" cap="none" spc="0">
            <a:ln w="0"/>
            <a:solidFill>
              <a:schemeClr val="tx1"/>
            </a:solidFill>
            <a:effectLst>
              <a:outerShdw blurRad="38100" dist="19050" dir="2700000" algn="tl" rotWithShape="0">
                <a:schemeClr val="dk1">
                  <a:alpha val="40000"/>
                </a:schemeClr>
              </a:outerShdw>
            </a:effectLst>
          </a:endParaRPr>
        </a:p>
        <a:p>
          <a:pPr algn="l"/>
          <a:r>
            <a:rPr kumimoji="1" lang="ja-JP" altLang="en-US" sz="1100" b="0" cap="none" spc="0">
              <a:ln w="0"/>
              <a:solidFill>
                <a:schemeClr val="tx1"/>
              </a:solidFill>
              <a:effectLst>
                <a:outerShdw blurRad="38100" dist="19050" dir="2700000" algn="tl" rotWithShape="0">
                  <a:schemeClr val="dk1">
                    <a:alpha val="40000"/>
                  </a:schemeClr>
                </a:outerShdw>
              </a:effectLst>
            </a:rPr>
            <a:t>監視△は４月にいないため、５月に単価を入力してください。</a:t>
          </a:r>
          <a:endParaRPr kumimoji="1" lang="en-US" altLang="ja-JP" sz="1100" b="0" cap="none" spc="0">
            <a:ln w="0"/>
            <a:solidFill>
              <a:schemeClr val="tx1"/>
            </a:solidFill>
            <a:effectLst>
              <a:outerShdw blurRad="38100" dist="19050" dir="2700000" algn="tl" rotWithShape="0">
                <a:schemeClr val="dk1">
                  <a:alpha val="40000"/>
                </a:schemeClr>
              </a:outerShdw>
            </a:effectLst>
          </a:endParaRPr>
        </a:p>
        <a:p>
          <a:pPr algn="l"/>
          <a:r>
            <a:rPr kumimoji="1" lang="en-US" altLang="ja-JP" sz="1100" b="0" cap="none" spc="0">
              <a:ln w="0"/>
              <a:solidFill>
                <a:schemeClr val="tx1"/>
              </a:solidFill>
              <a:effectLst>
                <a:outerShdw blurRad="38100" dist="19050" dir="2700000" algn="tl" rotWithShape="0">
                  <a:schemeClr val="dk1">
                    <a:alpha val="40000"/>
                  </a:schemeClr>
                </a:outerShdw>
              </a:effectLst>
            </a:rPr>
            <a:t>※</a:t>
          </a:r>
          <a:r>
            <a:rPr kumimoji="1" lang="ja-JP" altLang="en-US" sz="1100" b="0" cap="none" spc="0">
              <a:ln w="0"/>
              <a:solidFill>
                <a:schemeClr val="tx1"/>
              </a:solidFill>
              <a:effectLst>
                <a:outerShdw blurRad="38100" dist="19050" dir="2700000" algn="tl" rotWithShape="0">
                  <a:schemeClr val="dk1">
                    <a:alpha val="40000"/>
                  </a:schemeClr>
                </a:outerShdw>
              </a:effectLst>
            </a:rPr>
            <a:t>全ての費用を見込んだ金額を単価に割り戻した金額を単価欄に入力してください。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AP66"/>
  <sheetViews>
    <sheetView view="pageBreakPreview" topLeftCell="K49" zoomScale="110" zoomScaleNormal="100" zoomScaleSheetLayoutView="110" workbookViewId="0">
      <selection activeCell="G2" sqref="G2"/>
    </sheetView>
  </sheetViews>
  <sheetFormatPr defaultColWidth="8.875" defaultRowHeight="11.25"/>
  <cols>
    <col min="1" max="1" width="5.5" style="1" customWidth="1"/>
    <col min="2" max="3" width="3.25" style="1" customWidth="1"/>
    <col min="4" max="6" width="5.75" style="1" customWidth="1"/>
    <col min="7" max="7" width="2" style="1" customWidth="1"/>
    <col min="8" max="8" width="5.5" style="1" customWidth="1"/>
    <col min="9" max="10" width="3.25" style="1" customWidth="1"/>
    <col min="11" max="13" width="5.75" style="1" customWidth="1"/>
    <col min="14" max="14" width="2" style="1" customWidth="1"/>
    <col min="15" max="15" width="5.5" style="1" customWidth="1"/>
    <col min="16" max="17" width="3.25" style="1" customWidth="1"/>
    <col min="18" max="20" width="5.75" style="1" customWidth="1"/>
    <col min="21" max="21" width="2" style="1" customWidth="1"/>
    <col min="22" max="22" width="5.5" style="1" customWidth="1"/>
    <col min="23" max="24" width="3.25" style="1" customWidth="1"/>
    <col min="25" max="27" width="5.75" style="1" customWidth="1"/>
    <col min="28" max="28" width="2" style="1" customWidth="1"/>
    <col min="29" max="29" width="5.5" style="1" customWidth="1"/>
    <col min="30" max="31" width="3.25" style="1" customWidth="1"/>
    <col min="32" max="34" width="5.75" style="1" customWidth="1"/>
    <col min="35" max="35" width="2" style="1" customWidth="1"/>
    <col min="36" max="36" width="5.5" style="1" customWidth="1"/>
    <col min="37" max="38" width="3.25" style="1" customWidth="1"/>
    <col min="39" max="41" width="5.75" style="1" customWidth="1"/>
    <col min="42" max="16384" width="8.875" style="1"/>
  </cols>
  <sheetData>
    <row r="1" spans="1:42" ht="24">
      <c r="A1" s="341" t="s">
        <v>131</v>
      </c>
      <c r="B1" s="341"/>
      <c r="C1" s="341"/>
      <c r="D1" s="341"/>
      <c r="E1" s="341"/>
      <c r="F1" s="341"/>
      <c r="G1" s="341"/>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c r="AK1" s="341"/>
      <c r="AL1" s="341"/>
      <c r="AM1" s="341"/>
      <c r="AN1" s="341"/>
      <c r="AO1" s="341"/>
    </row>
    <row r="2" spans="1:42" ht="12" thickBot="1">
      <c r="AP2" s="1">
        <v>290813</v>
      </c>
    </row>
    <row r="3" spans="1:42" ht="12" thickBot="1">
      <c r="A3" s="116"/>
      <c r="B3" s="117"/>
      <c r="C3" s="131"/>
      <c r="D3" s="118" t="s">
        <v>5</v>
      </c>
      <c r="E3" s="118" t="s">
        <v>6</v>
      </c>
      <c r="F3" s="119" t="s">
        <v>35</v>
      </c>
      <c r="H3" s="116"/>
      <c r="I3" s="117"/>
      <c r="J3" s="131"/>
      <c r="K3" s="118" t="s">
        <v>5</v>
      </c>
      <c r="L3" s="118" t="s">
        <v>6</v>
      </c>
      <c r="M3" s="119" t="s">
        <v>35</v>
      </c>
      <c r="O3" s="116"/>
      <c r="P3" s="117"/>
      <c r="Q3" s="131"/>
      <c r="R3" s="118" t="s">
        <v>5</v>
      </c>
      <c r="S3" s="118" t="s">
        <v>6</v>
      </c>
      <c r="T3" s="119" t="s">
        <v>35</v>
      </c>
      <c r="V3" s="116"/>
      <c r="W3" s="117"/>
      <c r="X3" s="131"/>
      <c r="Y3" s="118" t="s">
        <v>5</v>
      </c>
      <c r="Z3" s="118" t="s">
        <v>6</v>
      </c>
      <c r="AA3" s="119" t="s">
        <v>35</v>
      </c>
      <c r="AC3" s="116"/>
      <c r="AD3" s="117"/>
      <c r="AE3" s="131"/>
      <c r="AF3" s="118" t="s">
        <v>5</v>
      </c>
      <c r="AG3" s="118" t="s">
        <v>6</v>
      </c>
      <c r="AH3" s="119" t="s">
        <v>35</v>
      </c>
      <c r="AJ3" s="116"/>
      <c r="AK3" s="117"/>
      <c r="AL3" s="131"/>
      <c r="AM3" s="118" t="s">
        <v>5</v>
      </c>
      <c r="AN3" s="118" t="s">
        <v>6</v>
      </c>
      <c r="AO3" s="119" t="s">
        <v>35</v>
      </c>
    </row>
    <row r="4" spans="1:42">
      <c r="A4" s="120">
        <f>配置表!M7</f>
        <v>45748</v>
      </c>
      <c r="B4" s="121" t="str">
        <f>配置表!N7</f>
        <v>火</v>
      </c>
      <c r="C4" s="121" t="str">
        <f>配置表!L7</f>
        <v/>
      </c>
      <c r="D4" s="122" t="str">
        <f>配置表!O7</f>
        <v>春　特別展</v>
      </c>
      <c r="E4" s="123" t="str">
        <f>配置表!P7</f>
        <v>テーマ展</v>
      </c>
      <c r="F4" s="132">
        <f>配置表!G7</f>
        <v>0.70833333333333337</v>
      </c>
      <c r="G4" s="18"/>
      <c r="H4" s="120">
        <f>配置表!$M73</f>
        <v>45809</v>
      </c>
      <c r="I4" s="121" t="str">
        <f>配置表!$N73</f>
        <v>日</v>
      </c>
      <c r="J4" s="121" t="str">
        <f>配置表!$L73</f>
        <v/>
      </c>
      <c r="K4" s="122" t="str">
        <f>配置表!$O73</f>
        <v/>
      </c>
      <c r="L4" s="123" t="str">
        <f>配置表!$P73</f>
        <v>テーマ展</v>
      </c>
      <c r="M4" s="132">
        <f>配置表!$G73</f>
        <v>0.70833333333333337</v>
      </c>
      <c r="N4" s="18"/>
      <c r="O4" s="120">
        <f>配置表!$M139</f>
        <v>45870</v>
      </c>
      <c r="P4" s="121" t="str">
        <f>配置表!$N139</f>
        <v>金</v>
      </c>
      <c r="Q4" s="121" t="str">
        <f>配置表!$L139</f>
        <v/>
      </c>
      <c r="R4" s="122" t="str">
        <f>配置表!$O139</f>
        <v>夏　特別展</v>
      </c>
      <c r="S4" s="123" t="str">
        <f>配置表!$P139</f>
        <v>テーマ展</v>
      </c>
      <c r="T4" s="132">
        <f>配置表!$G139</f>
        <v>0.70833333333333337</v>
      </c>
      <c r="U4" s="18"/>
      <c r="V4" s="120">
        <f>配置表!$M205</f>
        <v>45931</v>
      </c>
      <c r="W4" s="121" t="str">
        <f>配置表!$N205</f>
        <v>水</v>
      </c>
      <c r="X4" s="121" t="str">
        <f>配置表!$L205</f>
        <v/>
      </c>
      <c r="Y4" s="122" t="str">
        <f>配置表!$O205</f>
        <v>秋　特別展</v>
      </c>
      <c r="Z4" s="123" t="str">
        <f>配置表!$P205</f>
        <v>テーマ展</v>
      </c>
      <c r="AA4" s="132">
        <f>配置表!$G205</f>
        <v>0.70833333333333337</v>
      </c>
      <c r="AB4" s="18"/>
      <c r="AC4" s="120">
        <f>配置表!$M271</f>
        <v>45992</v>
      </c>
      <c r="AD4" s="121" t="str">
        <f>配置表!$N271</f>
        <v>月</v>
      </c>
      <c r="AE4" s="121" t="str">
        <f>配置表!$L271</f>
        <v>閉</v>
      </c>
      <c r="AF4" s="122" t="str">
        <f>配置表!$O271</f>
        <v/>
      </c>
      <c r="AG4" s="123" t="str">
        <f>配置表!$P271</f>
        <v>テーマ展</v>
      </c>
      <c r="AH4" s="132">
        <f>配置表!$G271</f>
        <v>0.70833333333333337</v>
      </c>
      <c r="AI4" s="18"/>
      <c r="AJ4" s="120">
        <f>配置表!$M337</f>
        <v>46054</v>
      </c>
      <c r="AK4" s="121" t="str">
        <f>配置表!$N337</f>
        <v>日</v>
      </c>
      <c r="AL4" s="121" t="str">
        <f>配置表!$L337</f>
        <v/>
      </c>
      <c r="AM4" s="122" t="str">
        <f>配置表!$O337</f>
        <v>冬　特別展</v>
      </c>
      <c r="AN4" s="123" t="str">
        <f>配置表!$P337</f>
        <v>テーマ展</v>
      </c>
      <c r="AO4" s="132">
        <f>配置表!$G337</f>
        <v>0.70833333333333337</v>
      </c>
      <c r="AP4" s="18"/>
    </row>
    <row r="5" spans="1:42">
      <c r="A5" s="124">
        <f>配置表!M8</f>
        <v>45749</v>
      </c>
      <c r="B5" s="125" t="str">
        <f>配置表!N8</f>
        <v>水</v>
      </c>
      <c r="C5" s="125" t="str">
        <f>配置表!L8</f>
        <v/>
      </c>
      <c r="D5" s="126" t="str">
        <f>配置表!O8</f>
        <v>春　特別展</v>
      </c>
      <c r="E5" s="127" t="str">
        <f>配置表!P8</f>
        <v>テーマ展</v>
      </c>
      <c r="F5" s="133">
        <f>配置表!G8</f>
        <v>0.70833333333333337</v>
      </c>
      <c r="G5" s="18"/>
      <c r="H5" s="124">
        <f>配置表!$M74</f>
        <v>45810</v>
      </c>
      <c r="I5" s="125" t="str">
        <f>配置表!$N74</f>
        <v>月</v>
      </c>
      <c r="J5" s="125" t="str">
        <f>配置表!$L74</f>
        <v>閉</v>
      </c>
      <c r="K5" s="126" t="str">
        <f>配置表!$O74</f>
        <v/>
      </c>
      <c r="L5" s="127" t="str">
        <f>配置表!$P74</f>
        <v>テーマ展</v>
      </c>
      <c r="M5" s="133">
        <f>配置表!$G74</f>
        <v>0.70833333333333337</v>
      </c>
      <c r="N5" s="18"/>
      <c r="O5" s="124">
        <f>配置表!$M140</f>
        <v>45871</v>
      </c>
      <c r="P5" s="125" t="str">
        <f>配置表!$N140</f>
        <v>土</v>
      </c>
      <c r="Q5" s="125" t="str">
        <f>配置表!$L140</f>
        <v/>
      </c>
      <c r="R5" s="126" t="str">
        <f>配置表!$O140</f>
        <v>夏　特別展</v>
      </c>
      <c r="S5" s="127" t="str">
        <f>配置表!$P140</f>
        <v>テーマ展</v>
      </c>
      <c r="T5" s="133">
        <f>配置表!$G140</f>
        <v>0.70833333333333337</v>
      </c>
      <c r="U5" s="18"/>
      <c r="V5" s="124">
        <f>配置表!$M206</f>
        <v>45932</v>
      </c>
      <c r="W5" s="125" t="str">
        <f>配置表!$N206</f>
        <v>木</v>
      </c>
      <c r="X5" s="125" t="str">
        <f>配置表!$L206</f>
        <v/>
      </c>
      <c r="Y5" s="126" t="str">
        <f>配置表!$O206</f>
        <v>秋　特別展</v>
      </c>
      <c r="Z5" s="127" t="str">
        <f>配置表!$P206</f>
        <v>テーマ展</v>
      </c>
      <c r="AA5" s="133">
        <f>配置表!$G206</f>
        <v>0.70833333333333337</v>
      </c>
      <c r="AB5" s="18"/>
      <c r="AC5" s="124">
        <f>配置表!$M272</f>
        <v>45993</v>
      </c>
      <c r="AD5" s="125" t="str">
        <f>配置表!$N272</f>
        <v>火</v>
      </c>
      <c r="AE5" s="125" t="str">
        <f>配置表!$L272</f>
        <v/>
      </c>
      <c r="AF5" s="126" t="str">
        <f>配置表!$O272</f>
        <v/>
      </c>
      <c r="AG5" s="127" t="str">
        <f>配置表!$P272</f>
        <v>テーマ展</v>
      </c>
      <c r="AH5" s="133">
        <f>配置表!$G272</f>
        <v>0.70833333333333337</v>
      </c>
      <c r="AI5" s="18"/>
      <c r="AJ5" s="124">
        <f>配置表!$M338</f>
        <v>46055</v>
      </c>
      <c r="AK5" s="125" t="str">
        <f>配置表!$N338</f>
        <v>月</v>
      </c>
      <c r="AL5" s="125" t="str">
        <f>配置表!$L338</f>
        <v>閉</v>
      </c>
      <c r="AM5" s="126" t="str">
        <f>配置表!$O338</f>
        <v>冬　特別展</v>
      </c>
      <c r="AN5" s="127" t="str">
        <f>配置表!$P338</f>
        <v>テーマ展</v>
      </c>
      <c r="AO5" s="133">
        <f>配置表!$G338</f>
        <v>0.70833333333333337</v>
      </c>
      <c r="AP5" s="18"/>
    </row>
    <row r="6" spans="1:42">
      <c r="A6" s="124">
        <f>配置表!M9</f>
        <v>45750</v>
      </c>
      <c r="B6" s="125" t="str">
        <f>配置表!N9</f>
        <v>木</v>
      </c>
      <c r="C6" s="125" t="str">
        <f>配置表!L9</f>
        <v/>
      </c>
      <c r="D6" s="126" t="str">
        <f>配置表!O9</f>
        <v>春　特別展</v>
      </c>
      <c r="E6" s="127" t="str">
        <f>配置表!P9</f>
        <v>テーマ展</v>
      </c>
      <c r="F6" s="133">
        <f>配置表!G9</f>
        <v>0.70833333333333337</v>
      </c>
      <c r="G6" s="18"/>
      <c r="H6" s="124">
        <f>配置表!$M75</f>
        <v>45811</v>
      </c>
      <c r="I6" s="125" t="str">
        <f>配置表!$N75</f>
        <v>火</v>
      </c>
      <c r="J6" s="125" t="str">
        <f>配置表!$L75</f>
        <v/>
      </c>
      <c r="K6" s="126" t="str">
        <f>配置表!$O75</f>
        <v/>
      </c>
      <c r="L6" s="127" t="str">
        <f>配置表!$P75</f>
        <v>テーマ展</v>
      </c>
      <c r="M6" s="133">
        <f>配置表!$G75</f>
        <v>0.70833333333333337</v>
      </c>
      <c r="N6" s="18"/>
      <c r="O6" s="124">
        <f>配置表!$M141</f>
        <v>45872</v>
      </c>
      <c r="P6" s="125" t="str">
        <f>配置表!$N141</f>
        <v>日</v>
      </c>
      <c r="Q6" s="125" t="str">
        <f>配置表!$L141</f>
        <v/>
      </c>
      <c r="R6" s="126" t="str">
        <f>配置表!$O141</f>
        <v>夏　特別展</v>
      </c>
      <c r="S6" s="127" t="str">
        <f>配置表!$P141</f>
        <v>テーマ展</v>
      </c>
      <c r="T6" s="133">
        <f>配置表!$G141</f>
        <v>0.70833333333333337</v>
      </c>
      <c r="U6" s="18"/>
      <c r="V6" s="124">
        <f>配置表!$M207</f>
        <v>45933</v>
      </c>
      <c r="W6" s="125" t="str">
        <f>配置表!$N207</f>
        <v>金</v>
      </c>
      <c r="X6" s="125" t="str">
        <f>配置表!$L207</f>
        <v/>
      </c>
      <c r="Y6" s="126" t="str">
        <f>配置表!$O207</f>
        <v>秋　特別展</v>
      </c>
      <c r="Z6" s="127" t="str">
        <f>配置表!$P207</f>
        <v>テーマ展</v>
      </c>
      <c r="AA6" s="133">
        <f>配置表!$G207</f>
        <v>0.70833333333333337</v>
      </c>
      <c r="AB6" s="18"/>
      <c r="AC6" s="124">
        <f>配置表!$M273</f>
        <v>45994</v>
      </c>
      <c r="AD6" s="125" t="str">
        <f>配置表!$N273</f>
        <v>水</v>
      </c>
      <c r="AE6" s="125" t="str">
        <f>配置表!$L273</f>
        <v/>
      </c>
      <c r="AF6" s="126" t="str">
        <f>配置表!$O273</f>
        <v/>
      </c>
      <c r="AG6" s="127" t="str">
        <f>配置表!$P273</f>
        <v>テーマ展</v>
      </c>
      <c r="AH6" s="133">
        <f>配置表!$G273</f>
        <v>0.70833333333333337</v>
      </c>
      <c r="AI6" s="18"/>
      <c r="AJ6" s="124">
        <f>配置表!$M339</f>
        <v>46056</v>
      </c>
      <c r="AK6" s="125" t="str">
        <f>配置表!$N339</f>
        <v>火</v>
      </c>
      <c r="AL6" s="125" t="str">
        <f>配置表!$L339</f>
        <v/>
      </c>
      <c r="AM6" s="126" t="str">
        <f>配置表!$O339</f>
        <v>冬　特別展</v>
      </c>
      <c r="AN6" s="127" t="str">
        <f>配置表!$P339</f>
        <v>テーマ展</v>
      </c>
      <c r="AO6" s="133">
        <f>配置表!$G339</f>
        <v>0.70833333333333337</v>
      </c>
      <c r="AP6" s="18"/>
    </row>
    <row r="7" spans="1:42">
      <c r="A7" s="124">
        <f>配置表!M10</f>
        <v>45751</v>
      </c>
      <c r="B7" s="125" t="str">
        <f>配置表!N10</f>
        <v>金</v>
      </c>
      <c r="C7" s="125" t="str">
        <f>配置表!L10</f>
        <v/>
      </c>
      <c r="D7" s="126" t="str">
        <f>配置表!O10</f>
        <v>春　特別展</v>
      </c>
      <c r="E7" s="127" t="str">
        <f>配置表!P10</f>
        <v>テーマ展</v>
      </c>
      <c r="F7" s="133">
        <f>配置表!G10</f>
        <v>0.70833333333333337</v>
      </c>
      <c r="G7" s="18"/>
      <c r="H7" s="124">
        <f>配置表!$M76</f>
        <v>45812</v>
      </c>
      <c r="I7" s="125" t="str">
        <f>配置表!$N76</f>
        <v>水</v>
      </c>
      <c r="J7" s="125" t="str">
        <f>配置表!$L76</f>
        <v/>
      </c>
      <c r="K7" s="126" t="str">
        <f>配置表!$O76</f>
        <v/>
      </c>
      <c r="L7" s="127" t="str">
        <f>配置表!$P76</f>
        <v>テーマ展</v>
      </c>
      <c r="M7" s="133">
        <f>配置表!$G76</f>
        <v>0.70833333333333337</v>
      </c>
      <c r="N7" s="18"/>
      <c r="O7" s="124">
        <f>配置表!$M142</f>
        <v>45873</v>
      </c>
      <c r="P7" s="125" t="str">
        <f>配置表!$N142</f>
        <v>月</v>
      </c>
      <c r="Q7" s="125" t="str">
        <f>配置表!$L142</f>
        <v>閉</v>
      </c>
      <c r="R7" s="126" t="str">
        <f>配置表!$O142</f>
        <v>夏　特別展</v>
      </c>
      <c r="S7" s="127" t="str">
        <f>配置表!$P142</f>
        <v>テーマ展</v>
      </c>
      <c r="T7" s="133">
        <f>配置表!$G142</f>
        <v>0.70833333333333337</v>
      </c>
      <c r="U7" s="18"/>
      <c r="V7" s="124">
        <f>配置表!$M208</f>
        <v>45934</v>
      </c>
      <c r="W7" s="125" t="str">
        <f>配置表!$N208</f>
        <v>土</v>
      </c>
      <c r="X7" s="125" t="str">
        <f>配置表!$L208</f>
        <v/>
      </c>
      <c r="Y7" s="126" t="str">
        <f>配置表!$O208</f>
        <v>秋　特別展</v>
      </c>
      <c r="Z7" s="127" t="str">
        <f>配置表!$P208</f>
        <v>テーマ展</v>
      </c>
      <c r="AA7" s="133">
        <f>配置表!$G208</f>
        <v>0.70833333333333337</v>
      </c>
      <c r="AB7" s="18"/>
      <c r="AC7" s="124">
        <f>配置表!$M274</f>
        <v>45995</v>
      </c>
      <c r="AD7" s="125" t="str">
        <f>配置表!$N274</f>
        <v>木</v>
      </c>
      <c r="AE7" s="125" t="str">
        <f>配置表!$L274</f>
        <v/>
      </c>
      <c r="AF7" s="126" t="str">
        <f>配置表!$O274</f>
        <v/>
      </c>
      <c r="AG7" s="127" t="str">
        <f>配置表!$P274</f>
        <v>テーマ展</v>
      </c>
      <c r="AH7" s="133">
        <f>配置表!$G274</f>
        <v>0.70833333333333337</v>
      </c>
      <c r="AI7" s="18"/>
      <c r="AJ7" s="124">
        <f>配置表!$M340</f>
        <v>46057</v>
      </c>
      <c r="AK7" s="125" t="str">
        <f>配置表!$N340</f>
        <v>水</v>
      </c>
      <c r="AL7" s="125" t="str">
        <f>配置表!$L340</f>
        <v/>
      </c>
      <c r="AM7" s="126" t="str">
        <f>配置表!$O340</f>
        <v>冬　特別展</v>
      </c>
      <c r="AN7" s="127" t="str">
        <f>配置表!$P340</f>
        <v>テーマ展</v>
      </c>
      <c r="AO7" s="133">
        <f>配置表!$G340</f>
        <v>0.70833333333333337</v>
      </c>
      <c r="AP7" s="18"/>
    </row>
    <row r="8" spans="1:42">
      <c r="A8" s="124">
        <f>配置表!M11</f>
        <v>45752</v>
      </c>
      <c r="B8" s="125" t="str">
        <f>配置表!N11</f>
        <v>土</v>
      </c>
      <c r="C8" s="125" t="str">
        <f>配置表!L11</f>
        <v/>
      </c>
      <c r="D8" s="126" t="str">
        <f>配置表!O11</f>
        <v>春　特別展</v>
      </c>
      <c r="E8" s="127" t="str">
        <f>配置表!P11</f>
        <v>テーマ展</v>
      </c>
      <c r="F8" s="133">
        <f>配置表!G11</f>
        <v>0.70833333333333337</v>
      </c>
      <c r="G8" s="18"/>
      <c r="H8" s="124">
        <f>配置表!$M77</f>
        <v>45813</v>
      </c>
      <c r="I8" s="125" t="str">
        <f>配置表!$N77</f>
        <v>木</v>
      </c>
      <c r="J8" s="125" t="str">
        <f>配置表!$L77</f>
        <v/>
      </c>
      <c r="K8" s="126" t="str">
        <f>配置表!$O77</f>
        <v/>
      </c>
      <c r="L8" s="127" t="str">
        <f>配置表!$P77</f>
        <v>テーマ展</v>
      </c>
      <c r="M8" s="133">
        <f>配置表!$G77</f>
        <v>0.70833333333333337</v>
      </c>
      <c r="N8" s="18"/>
      <c r="O8" s="124">
        <f>配置表!$M143</f>
        <v>45874</v>
      </c>
      <c r="P8" s="125" t="str">
        <f>配置表!$N143</f>
        <v>火</v>
      </c>
      <c r="Q8" s="125" t="str">
        <f>配置表!$L143</f>
        <v/>
      </c>
      <c r="R8" s="126" t="str">
        <f>配置表!$O143</f>
        <v>夏　特別展</v>
      </c>
      <c r="S8" s="127" t="str">
        <f>配置表!$P143</f>
        <v>テーマ展</v>
      </c>
      <c r="T8" s="133">
        <f>配置表!$G143</f>
        <v>0.70833333333333337</v>
      </c>
      <c r="U8" s="18"/>
      <c r="V8" s="124">
        <f>配置表!$M209</f>
        <v>45935</v>
      </c>
      <c r="W8" s="125" t="str">
        <f>配置表!$N209</f>
        <v>日</v>
      </c>
      <c r="X8" s="125" t="str">
        <f>配置表!$L209</f>
        <v/>
      </c>
      <c r="Y8" s="126" t="str">
        <f>配置表!$O209</f>
        <v>秋　特別展</v>
      </c>
      <c r="Z8" s="127" t="str">
        <f>配置表!$P209</f>
        <v>テーマ展</v>
      </c>
      <c r="AA8" s="133">
        <f>配置表!$G209</f>
        <v>0.70833333333333337</v>
      </c>
      <c r="AB8" s="18"/>
      <c r="AC8" s="124">
        <f>配置表!$M275</f>
        <v>45996</v>
      </c>
      <c r="AD8" s="125" t="str">
        <f>配置表!$N275</f>
        <v>金</v>
      </c>
      <c r="AE8" s="125" t="str">
        <f>配置表!$L275</f>
        <v/>
      </c>
      <c r="AF8" s="126" t="str">
        <f>配置表!$O275</f>
        <v/>
      </c>
      <c r="AG8" s="127" t="str">
        <f>配置表!$P275</f>
        <v>テーマ展</v>
      </c>
      <c r="AH8" s="133">
        <f>配置表!$G275</f>
        <v>0.70833333333333337</v>
      </c>
      <c r="AI8" s="18"/>
      <c r="AJ8" s="124">
        <f>配置表!$M341</f>
        <v>46058</v>
      </c>
      <c r="AK8" s="125" t="str">
        <f>配置表!$N341</f>
        <v>木</v>
      </c>
      <c r="AL8" s="125" t="str">
        <f>配置表!$L341</f>
        <v/>
      </c>
      <c r="AM8" s="126" t="str">
        <f>配置表!$O341</f>
        <v>冬　特別展</v>
      </c>
      <c r="AN8" s="127" t="str">
        <f>配置表!$P341</f>
        <v>テーマ展</v>
      </c>
      <c r="AO8" s="133">
        <f>配置表!$G341</f>
        <v>0.70833333333333337</v>
      </c>
      <c r="AP8" s="18"/>
    </row>
    <row r="9" spans="1:42">
      <c r="A9" s="124">
        <f>配置表!M12</f>
        <v>45753</v>
      </c>
      <c r="B9" s="125" t="str">
        <f>配置表!N12</f>
        <v>日</v>
      </c>
      <c r="C9" s="125" t="str">
        <f>配置表!L12</f>
        <v/>
      </c>
      <c r="D9" s="126" t="str">
        <f>配置表!O12</f>
        <v>春　特別展</v>
      </c>
      <c r="E9" s="127" t="str">
        <f>配置表!P12</f>
        <v>テーマ展</v>
      </c>
      <c r="F9" s="133">
        <f>配置表!G12</f>
        <v>0.70833333333333337</v>
      </c>
      <c r="G9" s="18"/>
      <c r="H9" s="124">
        <f>配置表!$M78</f>
        <v>45814</v>
      </c>
      <c r="I9" s="125" t="str">
        <f>配置表!$N78</f>
        <v>金</v>
      </c>
      <c r="J9" s="125" t="str">
        <f>配置表!$L78</f>
        <v/>
      </c>
      <c r="K9" s="126" t="str">
        <f>配置表!$O78</f>
        <v/>
      </c>
      <c r="L9" s="127" t="str">
        <f>配置表!$P78</f>
        <v>テーマ展</v>
      </c>
      <c r="M9" s="133">
        <f>配置表!$G78</f>
        <v>0.70833333333333337</v>
      </c>
      <c r="N9" s="18"/>
      <c r="O9" s="124">
        <f>配置表!$M144</f>
        <v>45875</v>
      </c>
      <c r="P9" s="125" t="str">
        <f>配置表!$N144</f>
        <v>水</v>
      </c>
      <c r="Q9" s="125" t="str">
        <f>配置表!$L144</f>
        <v/>
      </c>
      <c r="R9" s="126" t="str">
        <f>配置表!$O144</f>
        <v>夏　特別展</v>
      </c>
      <c r="S9" s="127" t="str">
        <f>配置表!$P144</f>
        <v>テーマ展</v>
      </c>
      <c r="T9" s="133">
        <f>配置表!$G144</f>
        <v>0.70833333333333337</v>
      </c>
      <c r="U9" s="18"/>
      <c r="V9" s="124">
        <f>配置表!$M210</f>
        <v>45936</v>
      </c>
      <c r="W9" s="125" t="str">
        <f>配置表!$N210</f>
        <v>月</v>
      </c>
      <c r="X9" s="125" t="str">
        <f>配置表!$L210</f>
        <v>閉</v>
      </c>
      <c r="Y9" s="126" t="str">
        <f>配置表!$O210</f>
        <v>秋　特別展</v>
      </c>
      <c r="Z9" s="127" t="str">
        <f>配置表!$P210</f>
        <v>テーマ展</v>
      </c>
      <c r="AA9" s="133">
        <f>配置表!$G210</f>
        <v>0.70833333333333337</v>
      </c>
      <c r="AB9" s="18"/>
      <c r="AC9" s="124">
        <f>配置表!$M276</f>
        <v>45997</v>
      </c>
      <c r="AD9" s="125" t="str">
        <f>配置表!$N276</f>
        <v>土</v>
      </c>
      <c r="AE9" s="125" t="str">
        <f>配置表!$L276</f>
        <v/>
      </c>
      <c r="AF9" s="126" t="str">
        <f>配置表!$O276</f>
        <v>冬　特別展</v>
      </c>
      <c r="AG9" s="127" t="str">
        <f>配置表!$P276</f>
        <v>テーマ展</v>
      </c>
      <c r="AH9" s="133">
        <f>配置表!$G276</f>
        <v>0.70833333333333337</v>
      </c>
      <c r="AI9" s="18"/>
      <c r="AJ9" s="124">
        <f>配置表!$M342</f>
        <v>46059</v>
      </c>
      <c r="AK9" s="125" t="str">
        <f>配置表!$N342</f>
        <v>金</v>
      </c>
      <c r="AL9" s="125" t="str">
        <f>配置表!$L342</f>
        <v/>
      </c>
      <c r="AM9" s="126" t="str">
        <f>配置表!$O342</f>
        <v>冬　特別展</v>
      </c>
      <c r="AN9" s="127" t="str">
        <f>配置表!$P342</f>
        <v>テーマ展</v>
      </c>
      <c r="AO9" s="133">
        <f>配置表!$G342</f>
        <v>0.70833333333333337</v>
      </c>
      <c r="AP9" s="18"/>
    </row>
    <row r="10" spans="1:42">
      <c r="A10" s="124">
        <f>配置表!M13</f>
        <v>45754</v>
      </c>
      <c r="B10" s="125" t="str">
        <f>配置表!N13</f>
        <v>月</v>
      </c>
      <c r="C10" s="125" t="str">
        <f>配置表!L13</f>
        <v>閉</v>
      </c>
      <c r="D10" s="126" t="str">
        <f>配置表!O13</f>
        <v>春　特別展</v>
      </c>
      <c r="E10" s="127" t="str">
        <f>配置表!P13</f>
        <v>テーマ展</v>
      </c>
      <c r="F10" s="133">
        <f>配置表!G13</f>
        <v>0.70833333333333337</v>
      </c>
      <c r="G10" s="18"/>
      <c r="H10" s="124">
        <f>配置表!$M79</f>
        <v>45815</v>
      </c>
      <c r="I10" s="125" t="str">
        <f>配置表!$N79</f>
        <v>土</v>
      </c>
      <c r="J10" s="125" t="str">
        <f>配置表!$L79</f>
        <v/>
      </c>
      <c r="K10" s="126" t="str">
        <f>配置表!$O79</f>
        <v>夏　特別展</v>
      </c>
      <c r="L10" s="127" t="str">
        <f>配置表!$P79</f>
        <v>テーマ展</v>
      </c>
      <c r="M10" s="133">
        <f>配置表!$G79</f>
        <v>0.70833333333333337</v>
      </c>
      <c r="N10" s="18"/>
      <c r="O10" s="124">
        <f>配置表!$M145</f>
        <v>45876</v>
      </c>
      <c r="P10" s="125" t="str">
        <f>配置表!$N145</f>
        <v>木</v>
      </c>
      <c r="Q10" s="125" t="str">
        <f>配置表!$L145</f>
        <v/>
      </c>
      <c r="R10" s="126" t="str">
        <f>配置表!$O145</f>
        <v>夏　特別展</v>
      </c>
      <c r="S10" s="127" t="str">
        <f>配置表!$P145</f>
        <v>テーマ展</v>
      </c>
      <c r="T10" s="133">
        <f>配置表!$G145</f>
        <v>0.70833333333333337</v>
      </c>
      <c r="U10" s="18"/>
      <c r="V10" s="124">
        <f>配置表!$M211</f>
        <v>45937</v>
      </c>
      <c r="W10" s="125" t="str">
        <f>配置表!$N211</f>
        <v>火</v>
      </c>
      <c r="X10" s="125" t="str">
        <f>配置表!$L211</f>
        <v/>
      </c>
      <c r="Y10" s="126" t="str">
        <f>配置表!$O211</f>
        <v>秋　特別展</v>
      </c>
      <c r="Z10" s="127" t="str">
        <f>配置表!$P211</f>
        <v>テーマ展</v>
      </c>
      <c r="AA10" s="133">
        <f>配置表!$G211</f>
        <v>0.70833333333333337</v>
      </c>
      <c r="AB10" s="18"/>
      <c r="AC10" s="124">
        <f>配置表!$M277</f>
        <v>45998</v>
      </c>
      <c r="AD10" s="125" t="str">
        <f>配置表!$N277</f>
        <v>日</v>
      </c>
      <c r="AE10" s="125" t="str">
        <f>配置表!$L277</f>
        <v/>
      </c>
      <c r="AF10" s="126" t="str">
        <f>配置表!$O277</f>
        <v>冬　特別展</v>
      </c>
      <c r="AG10" s="127" t="str">
        <f>配置表!$P277</f>
        <v>テーマ展</v>
      </c>
      <c r="AH10" s="133">
        <f>配置表!$G277</f>
        <v>0.70833333333333337</v>
      </c>
      <c r="AI10" s="18"/>
      <c r="AJ10" s="124">
        <f>配置表!$M343</f>
        <v>46060</v>
      </c>
      <c r="AK10" s="125" t="str">
        <f>配置表!$N343</f>
        <v>土</v>
      </c>
      <c r="AL10" s="125" t="str">
        <f>配置表!$L343</f>
        <v/>
      </c>
      <c r="AM10" s="126" t="str">
        <f>配置表!$O343</f>
        <v>冬　特別展</v>
      </c>
      <c r="AN10" s="127" t="str">
        <f>配置表!$P343</f>
        <v>テーマ展</v>
      </c>
      <c r="AO10" s="133">
        <f>配置表!$G343</f>
        <v>0.70833333333333337</v>
      </c>
      <c r="AP10" s="18"/>
    </row>
    <row r="11" spans="1:42">
      <c r="A11" s="124">
        <f>配置表!M14</f>
        <v>45755</v>
      </c>
      <c r="B11" s="125" t="str">
        <f>配置表!N14</f>
        <v>火</v>
      </c>
      <c r="C11" s="125" t="str">
        <f>配置表!L14</f>
        <v/>
      </c>
      <c r="D11" s="126" t="str">
        <f>配置表!O14</f>
        <v>春　特別展</v>
      </c>
      <c r="E11" s="127" t="str">
        <f>配置表!P14</f>
        <v>テーマ展</v>
      </c>
      <c r="F11" s="133">
        <f>配置表!G14</f>
        <v>0.70833333333333337</v>
      </c>
      <c r="G11" s="18"/>
      <c r="H11" s="124">
        <f>配置表!$M80</f>
        <v>45816</v>
      </c>
      <c r="I11" s="125" t="str">
        <f>配置表!$N80</f>
        <v>日</v>
      </c>
      <c r="J11" s="125" t="str">
        <f>配置表!$L80</f>
        <v/>
      </c>
      <c r="K11" s="126" t="str">
        <f>配置表!$O80</f>
        <v>夏　特別展</v>
      </c>
      <c r="L11" s="127" t="str">
        <f>配置表!$P80</f>
        <v>テーマ展</v>
      </c>
      <c r="M11" s="133">
        <f>配置表!$G80</f>
        <v>0.70833333333333337</v>
      </c>
      <c r="N11" s="18"/>
      <c r="O11" s="124">
        <f>配置表!$M146</f>
        <v>45877</v>
      </c>
      <c r="P11" s="125" t="str">
        <f>配置表!$N146</f>
        <v>金</v>
      </c>
      <c r="Q11" s="125" t="str">
        <f>配置表!$L146</f>
        <v/>
      </c>
      <c r="R11" s="126" t="str">
        <f>配置表!$O146</f>
        <v>夏　特別展</v>
      </c>
      <c r="S11" s="127" t="str">
        <f>配置表!$P146</f>
        <v>テーマ展</v>
      </c>
      <c r="T11" s="133">
        <f>配置表!$G146</f>
        <v>0.70833333333333337</v>
      </c>
      <c r="U11" s="18"/>
      <c r="V11" s="124">
        <f>配置表!$M212</f>
        <v>45938</v>
      </c>
      <c r="W11" s="125" t="str">
        <f>配置表!$N212</f>
        <v>水</v>
      </c>
      <c r="X11" s="125" t="str">
        <f>配置表!$L212</f>
        <v/>
      </c>
      <c r="Y11" s="126" t="str">
        <f>配置表!$O212</f>
        <v>秋　特別展</v>
      </c>
      <c r="Z11" s="127" t="str">
        <f>配置表!$P212</f>
        <v>テーマ展</v>
      </c>
      <c r="AA11" s="133">
        <f>配置表!$G212</f>
        <v>0.70833333333333337</v>
      </c>
      <c r="AB11" s="18"/>
      <c r="AC11" s="124">
        <f>配置表!$M278</f>
        <v>45999</v>
      </c>
      <c r="AD11" s="125" t="str">
        <f>配置表!$N278</f>
        <v>月</v>
      </c>
      <c r="AE11" s="125" t="str">
        <f>配置表!$L278</f>
        <v>閉</v>
      </c>
      <c r="AF11" s="126" t="str">
        <f>配置表!$O278</f>
        <v>冬　特別展</v>
      </c>
      <c r="AG11" s="127" t="str">
        <f>配置表!$P278</f>
        <v>テーマ展</v>
      </c>
      <c r="AH11" s="133">
        <f>配置表!$G278</f>
        <v>0.70833333333333337</v>
      </c>
      <c r="AI11" s="18"/>
      <c r="AJ11" s="124">
        <f>配置表!$M344</f>
        <v>46061</v>
      </c>
      <c r="AK11" s="125" t="str">
        <f>配置表!$N344</f>
        <v>日</v>
      </c>
      <c r="AL11" s="125" t="str">
        <f>配置表!$L344</f>
        <v/>
      </c>
      <c r="AM11" s="126" t="str">
        <f>配置表!$O344</f>
        <v>冬　特別展</v>
      </c>
      <c r="AN11" s="127" t="str">
        <f>配置表!$P344</f>
        <v>テーマ展</v>
      </c>
      <c r="AO11" s="133">
        <f>配置表!$G344</f>
        <v>0.70833333333333337</v>
      </c>
      <c r="AP11" s="18"/>
    </row>
    <row r="12" spans="1:42">
      <c r="A12" s="124">
        <f>配置表!M15</f>
        <v>45756</v>
      </c>
      <c r="B12" s="125" t="str">
        <f>配置表!N15</f>
        <v>水</v>
      </c>
      <c r="C12" s="125" t="str">
        <f>配置表!L15</f>
        <v/>
      </c>
      <c r="D12" s="126" t="str">
        <f>配置表!O15</f>
        <v>春　特別展</v>
      </c>
      <c r="E12" s="127" t="str">
        <f>配置表!P15</f>
        <v>テーマ展</v>
      </c>
      <c r="F12" s="133">
        <f>配置表!G15</f>
        <v>0.70833333333333337</v>
      </c>
      <c r="G12" s="18"/>
      <c r="H12" s="124">
        <f>配置表!$M81</f>
        <v>45817</v>
      </c>
      <c r="I12" s="125" t="str">
        <f>配置表!$N81</f>
        <v>月</v>
      </c>
      <c r="J12" s="125" t="str">
        <f>配置表!$L81</f>
        <v>閉</v>
      </c>
      <c r="K12" s="126" t="str">
        <f>配置表!$O81</f>
        <v>夏　特別展</v>
      </c>
      <c r="L12" s="127" t="str">
        <f>配置表!$P81</f>
        <v>テーマ展</v>
      </c>
      <c r="M12" s="133">
        <f>配置表!$G81</f>
        <v>0.70833333333333337</v>
      </c>
      <c r="N12" s="18"/>
      <c r="O12" s="124">
        <f>配置表!$M147</f>
        <v>45878</v>
      </c>
      <c r="P12" s="125" t="str">
        <f>配置表!$N147</f>
        <v>土</v>
      </c>
      <c r="Q12" s="125" t="str">
        <f>配置表!$L147</f>
        <v/>
      </c>
      <c r="R12" s="126" t="str">
        <f>配置表!$O147</f>
        <v>夏　特別展</v>
      </c>
      <c r="S12" s="127" t="str">
        <f>配置表!$P147</f>
        <v>テーマ展</v>
      </c>
      <c r="T12" s="133">
        <f>配置表!$G147</f>
        <v>0.70833333333333337</v>
      </c>
      <c r="U12" s="18"/>
      <c r="V12" s="124">
        <f>配置表!$M213</f>
        <v>45939</v>
      </c>
      <c r="W12" s="125" t="str">
        <f>配置表!$N213</f>
        <v>木</v>
      </c>
      <c r="X12" s="125" t="str">
        <f>配置表!$L213</f>
        <v/>
      </c>
      <c r="Y12" s="126" t="str">
        <f>配置表!$O213</f>
        <v>秋　特別展</v>
      </c>
      <c r="Z12" s="127" t="str">
        <f>配置表!$P213</f>
        <v>テーマ展</v>
      </c>
      <c r="AA12" s="133">
        <f>配置表!$G213</f>
        <v>0.70833333333333337</v>
      </c>
      <c r="AB12" s="18"/>
      <c r="AC12" s="124">
        <f>配置表!$M279</f>
        <v>46000</v>
      </c>
      <c r="AD12" s="125" t="str">
        <f>配置表!$N279</f>
        <v>火</v>
      </c>
      <c r="AE12" s="125" t="str">
        <f>配置表!$L279</f>
        <v/>
      </c>
      <c r="AF12" s="126" t="str">
        <f>配置表!$O279</f>
        <v>冬　特別展</v>
      </c>
      <c r="AG12" s="127" t="str">
        <f>配置表!$P279</f>
        <v>テーマ展</v>
      </c>
      <c r="AH12" s="133">
        <f>配置表!$G279</f>
        <v>0.70833333333333337</v>
      </c>
      <c r="AI12" s="18"/>
      <c r="AJ12" s="124">
        <f>配置表!$M345</f>
        <v>46062</v>
      </c>
      <c r="AK12" s="125" t="str">
        <f>配置表!$N345</f>
        <v>月</v>
      </c>
      <c r="AL12" s="125" t="str">
        <f>配置表!$L345</f>
        <v>閉</v>
      </c>
      <c r="AM12" s="126" t="str">
        <f>配置表!$O345</f>
        <v>冬　特別展</v>
      </c>
      <c r="AN12" s="127" t="str">
        <f>配置表!$P345</f>
        <v>テーマ展</v>
      </c>
      <c r="AO12" s="133">
        <f>配置表!$G345</f>
        <v>0.70833333333333337</v>
      </c>
      <c r="AP12" s="18"/>
    </row>
    <row r="13" spans="1:42">
      <c r="A13" s="124">
        <f>配置表!M16</f>
        <v>45757</v>
      </c>
      <c r="B13" s="125" t="str">
        <f>配置表!N16</f>
        <v>木</v>
      </c>
      <c r="C13" s="125" t="str">
        <f>配置表!L16</f>
        <v/>
      </c>
      <c r="D13" s="126" t="str">
        <f>配置表!O16</f>
        <v>春　特別展</v>
      </c>
      <c r="E13" s="127" t="str">
        <f>配置表!P16</f>
        <v>テーマ展</v>
      </c>
      <c r="F13" s="133">
        <f>配置表!G16</f>
        <v>0.70833333333333337</v>
      </c>
      <c r="G13" s="18"/>
      <c r="H13" s="124">
        <f>配置表!$M82</f>
        <v>45818</v>
      </c>
      <c r="I13" s="125" t="str">
        <f>配置表!$N82</f>
        <v>火</v>
      </c>
      <c r="J13" s="125" t="str">
        <f>配置表!$L82</f>
        <v/>
      </c>
      <c r="K13" s="126" t="str">
        <f>配置表!$O82</f>
        <v>夏　特別展</v>
      </c>
      <c r="L13" s="127" t="str">
        <f>配置表!$P82</f>
        <v>テーマ展</v>
      </c>
      <c r="M13" s="133">
        <f>配置表!$G82</f>
        <v>0.70833333333333337</v>
      </c>
      <c r="N13" s="18"/>
      <c r="O13" s="124">
        <f>配置表!$M148</f>
        <v>45879</v>
      </c>
      <c r="P13" s="125" t="str">
        <f>配置表!$N148</f>
        <v>日</v>
      </c>
      <c r="Q13" s="125" t="str">
        <f>配置表!$L148</f>
        <v/>
      </c>
      <c r="R13" s="126" t="str">
        <f>配置表!$O148</f>
        <v>夏　特別展</v>
      </c>
      <c r="S13" s="127" t="str">
        <f>配置表!$P148</f>
        <v>テーマ展</v>
      </c>
      <c r="T13" s="133">
        <f>配置表!$G148</f>
        <v>0.70833333333333337</v>
      </c>
      <c r="U13" s="18"/>
      <c r="V13" s="124">
        <f>配置表!$M214</f>
        <v>45940</v>
      </c>
      <c r="W13" s="125" t="str">
        <f>配置表!$N214</f>
        <v>金</v>
      </c>
      <c r="X13" s="125" t="str">
        <f>配置表!$L214</f>
        <v/>
      </c>
      <c r="Y13" s="126" t="str">
        <f>配置表!$O214</f>
        <v>秋　特別展</v>
      </c>
      <c r="Z13" s="127" t="str">
        <f>配置表!$P214</f>
        <v>テーマ展</v>
      </c>
      <c r="AA13" s="133">
        <f>配置表!$G214</f>
        <v>0.70833333333333337</v>
      </c>
      <c r="AB13" s="18"/>
      <c r="AC13" s="124">
        <f>配置表!$M280</f>
        <v>46001</v>
      </c>
      <c r="AD13" s="125" t="str">
        <f>配置表!$N280</f>
        <v>水</v>
      </c>
      <c r="AE13" s="125" t="str">
        <f>配置表!$L280</f>
        <v/>
      </c>
      <c r="AF13" s="126" t="str">
        <f>配置表!$O280</f>
        <v>冬　特別展</v>
      </c>
      <c r="AG13" s="127" t="str">
        <f>配置表!$P280</f>
        <v>テーマ展</v>
      </c>
      <c r="AH13" s="133">
        <f>配置表!$G280</f>
        <v>0.70833333333333337</v>
      </c>
      <c r="AI13" s="18"/>
      <c r="AJ13" s="124">
        <f>配置表!$M346</f>
        <v>46063</v>
      </c>
      <c r="AK13" s="125" t="str">
        <f>配置表!$N346</f>
        <v>火</v>
      </c>
      <c r="AL13" s="125" t="str">
        <f>配置表!$L346</f>
        <v/>
      </c>
      <c r="AM13" s="126" t="str">
        <f>配置表!$O346</f>
        <v>冬　特別展</v>
      </c>
      <c r="AN13" s="127" t="str">
        <f>配置表!$P346</f>
        <v>テーマ展</v>
      </c>
      <c r="AO13" s="133">
        <f>配置表!$G346</f>
        <v>0.70833333333333337</v>
      </c>
      <c r="AP13" s="18"/>
    </row>
    <row r="14" spans="1:42">
      <c r="A14" s="124">
        <f>配置表!M17</f>
        <v>45758</v>
      </c>
      <c r="B14" s="125" t="str">
        <f>配置表!N17</f>
        <v>金</v>
      </c>
      <c r="C14" s="125" t="str">
        <f>配置表!L17</f>
        <v/>
      </c>
      <c r="D14" s="126" t="str">
        <f>配置表!O17</f>
        <v>春　特別展</v>
      </c>
      <c r="E14" s="127" t="str">
        <f>配置表!P17</f>
        <v>テーマ展</v>
      </c>
      <c r="F14" s="133">
        <f>配置表!G17</f>
        <v>0.70833333333333337</v>
      </c>
      <c r="G14" s="18"/>
      <c r="H14" s="124">
        <f>配置表!$M83</f>
        <v>45819</v>
      </c>
      <c r="I14" s="125" t="str">
        <f>配置表!$N83</f>
        <v>水</v>
      </c>
      <c r="J14" s="125" t="str">
        <f>配置表!$L83</f>
        <v/>
      </c>
      <c r="K14" s="126" t="str">
        <f>配置表!$O83</f>
        <v>夏　特別展</v>
      </c>
      <c r="L14" s="127" t="str">
        <f>配置表!$P83</f>
        <v>テーマ展</v>
      </c>
      <c r="M14" s="133">
        <f>配置表!$G83</f>
        <v>0.70833333333333337</v>
      </c>
      <c r="N14" s="18"/>
      <c r="O14" s="124">
        <f>配置表!$M149</f>
        <v>45880</v>
      </c>
      <c r="P14" s="125" t="str">
        <f>配置表!$N149</f>
        <v>月</v>
      </c>
      <c r="Q14" s="125" t="str">
        <f>配置表!$L149</f>
        <v/>
      </c>
      <c r="R14" s="126" t="str">
        <f>配置表!$O149</f>
        <v>夏　特別展</v>
      </c>
      <c r="S14" s="127" t="str">
        <f>配置表!$P149</f>
        <v>テーマ展</v>
      </c>
      <c r="T14" s="133">
        <f>配置表!$G149</f>
        <v>0.70833333333333337</v>
      </c>
      <c r="U14" s="18"/>
      <c r="V14" s="124">
        <f>配置表!$M215</f>
        <v>45941</v>
      </c>
      <c r="W14" s="125" t="str">
        <f>配置表!$N215</f>
        <v>土</v>
      </c>
      <c r="X14" s="125" t="str">
        <f>配置表!$L215</f>
        <v/>
      </c>
      <c r="Y14" s="126" t="str">
        <f>配置表!$O215</f>
        <v>秋　特別展</v>
      </c>
      <c r="Z14" s="127" t="str">
        <f>配置表!$P215</f>
        <v>テーマ展</v>
      </c>
      <c r="AA14" s="133">
        <f>配置表!$G215</f>
        <v>0.70833333333333337</v>
      </c>
      <c r="AB14" s="18"/>
      <c r="AC14" s="124">
        <f>配置表!$M281</f>
        <v>46002</v>
      </c>
      <c r="AD14" s="125" t="str">
        <f>配置表!$N281</f>
        <v>木</v>
      </c>
      <c r="AE14" s="125" t="str">
        <f>配置表!$L281</f>
        <v/>
      </c>
      <c r="AF14" s="126" t="str">
        <f>配置表!$O281</f>
        <v>冬　特別展</v>
      </c>
      <c r="AG14" s="127" t="str">
        <f>配置表!$P281</f>
        <v>テーマ展</v>
      </c>
      <c r="AH14" s="133">
        <f>配置表!$G281</f>
        <v>0.70833333333333337</v>
      </c>
      <c r="AI14" s="18"/>
      <c r="AJ14" s="124">
        <f>配置表!$M347</f>
        <v>46064</v>
      </c>
      <c r="AK14" s="125" t="str">
        <f>配置表!$N347</f>
        <v>水</v>
      </c>
      <c r="AL14" s="125" t="str">
        <f>配置表!$L347</f>
        <v/>
      </c>
      <c r="AM14" s="126" t="str">
        <f>配置表!$O347</f>
        <v>冬　特別展</v>
      </c>
      <c r="AN14" s="127" t="str">
        <f>配置表!$P347</f>
        <v>テーマ展</v>
      </c>
      <c r="AO14" s="133">
        <f>配置表!$G347</f>
        <v>0.70833333333333337</v>
      </c>
      <c r="AP14" s="18"/>
    </row>
    <row r="15" spans="1:42">
      <c r="A15" s="124">
        <f>配置表!M18</f>
        <v>45759</v>
      </c>
      <c r="B15" s="125" t="str">
        <f>配置表!N18</f>
        <v>土</v>
      </c>
      <c r="C15" s="125" t="str">
        <f>配置表!L18</f>
        <v/>
      </c>
      <c r="D15" s="126" t="str">
        <f>配置表!O18</f>
        <v>春　特別展</v>
      </c>
      <c r="E15" s="127" t="str">
        <f>配置表!P18</f>
        <v>テーマ展</v>
      </c>
      <c r="F15" s="133">
        <f>配置表!G18</f>
        <v>0.70833333333333337</v>
      </c>
      <c r="G15" s="18"/>
      <c r="H15" s="124">
        <f>配置表!$M84</f>
        <v>45820</v>
      </c>
      <c r="I15" s="125" t="str">
        <f>配置表!$N84</f>
        <v>木</v>
      </c>
      <c r="J15" s="125" t="str">
        <f>配置表!$L84</f>
        <v/>
      </c>
      <c r="K15" s="126" t="str">
        <f>配置表!$O84</f>
        <v>夏　特別展</v>
      </c>
      <c r="L15" s="127" t="str">
        <f>配置表!$P84</f>
        <v>テーマ展</v>
      </c>
      <c r="M15" s="133">
        <f>配置表!$G84</f>
        <v>0.70833333333333337</v>
      </c>
      <c r="N15" s="18"/>
      <c r="O15" s="124">
        <f>配置表!$M150</f>
        <v>45881</v>
      </c>
      <c r="P15" s="125" t="str">
        <f>配置表!$N150</f>
        <v>火</v>
      </c>
      <c r="Q15" s="125" t="str">
        <f>配置表!$L150</f>
        <v>閉</v>
      </c>
      <c r="R15" s="126" t="str">
        <f>配置表!$O150</f>
        <v>夏　特別展</v>
      </c>
      <c r="S15" s="127" t="str">
        <f>配置表!$P150</f>
        <v>テーマ展</v>
      </c>
      <c r="T15" s="133">
        <f>配置表!$G150</f>
        <v>0.70833333333333337</v>
      </c>
      <c r="U15" s="18"/>
      <c r="V15" s="124">
        <f>配置表!$M216</f>
        <v>45942</v>
      </c>
      <c r="W15" s="125" t="str">
        <f>配置表!$N216</f>
        <v>日</v>
      </c>
      <c r="X15" s="125" t="str">
        <f>配置表!$L216</f>
        <v/>
      </c>
      <c r="Y15" s="126" t="str">
        <f>配置表!$O216</f>
        <v>秋　特別展</v>
      </c>
      <c r="Z15" s="127" t="str">
        <f>配置表!$P216</f>
        <v>テーマ展</v>
      </c>
      <c r="AA15" s="133">
        <f>配置表!$G216</f>
        <v>0.70833333333333337</v>
      </c>
      <c r="AB15" s="18"/>
      <c r="AC15" s="124">
        <f>配置表!$M282</f>
        <v>46003</v>
      </c>
      <c r="AD15" s="125" t="str">
        <f>配置表!$N282</f>
        <v>金</v>
      </c>
      <c r="AE15" s="125" t="str">
        <f>配置表!$L282</f>
        <v/>
      </c>
      <c r="AF15" s="126" t="str">
        <f>配置表!$O282</f>
        <v>冬　特別展</v>
      </c>
      <c r="AG15" s="127" t="str">
        <f>配置表!$P282</f>
        <v>テーマ展</v>
      </c>
      <c r="AH15" s="133">
        <f>配置表!$G282</f>
        <v>0.70833333333333337</v>
      </c>
      <c r="AI15" s="18"/>
      <c r="AJ15" s="124">
        <f>配置表!$M348</f>
        <v>46065</v>
      </c>
      <c r="AK15" s="125" t="str">
        <f>配置表!$N348</f>
        <v>木</v>
      </c>
      <c r="AL15" s="125" t="str">
        <f>配置表!$L348</f>
        <v/>
      </c>
      <c r="AM15" s="126" t="str">
        <f>配置表!$O348</f>
        <v>冬　特別展</v>
      </c>
      <c r="AN15" s="127" t="str">
        <f>配置表!$P348</f>
        <v>テーマ展</v>
      </c>
      <c r="AO15" s="133">
        <f>配置表!$G348</f>
        <v>0.70833333333333337</v>
      </c>
      <c r="AP15" s="18"/>
    </row>
    <row r="16" spans="1:42">
      <c r="A16" s="124">
        <f>配置表!M19</f>
        <v>45760</v>
      </c>
      <c r="B16" s="125" t="str">
        <f>配置表!N19</f>
        <v>日</v>
      </c>
      <c r="C16" s="125" t="str">
        <f>配置表!L19</f>
        <v/>
      </c>
      <c r="D16" s="126" t="str">
        <f>配置表!O19</f>
        <v>春　特別展</v>
      </c>
      <c r="E16" s="127" t="str">
        <f>配置表!P19</f>
        <v>テーマ展</v>
      </c>
      <c r="F16" s="133">
        <f>配置表!G19</f>
        <v>0.70833333333333337</v>
      </c>
      <c r="G16" s="18"/>
      <c r="H16" s="124">
        <f>配置表!$M85</f>
        <v>45821</v>
      </c>
      <c r="I16" s="125" t="str">
        <f>配置表!$N85</f>
        <v>金</v>
      </c>
      <c r="J16" s="125" t="str">
        <f>配置表!$L85</f>
        <v/>
      </c>
      <c r="K16" s="126" t="str">
        <f>配置表!$O85</f>
        <v>夏　特別展</v>
      </c>
      <c r="L16" s="127" t="str">
        <f>配置表!$P85</f>
        <v>テーマ展</v>
      </c>
      <c r="M16" s="133">
        <f>配置表!$G85</f>
        <v>0.70833333333333337</v>
      </c>
      <c r="N16" s="18"/>
      <c r="O16" s="124">
        <f>配置表!$M151</f>
        <v>45882</v>
      </c>
      <c r="P16" s="125" t="str">
        <f>配置表!$N151</f>
        <v>水</v>
      </c>
      <c r="Q16" s="125" t="str">
        <f>配置表!$L151</f>
        <v/>
      </c>
      <c r="R16" s="126" t="str">
        <f>配置表!$O151</f>
        <v>夏　特別展</v>
      </c>
      <c r="S16" s="127" t="str">
        <f>配置表!$P151</f>
        <v>テーマ展</v>
      </c>
      <c r="T16" s="133">
        <f>配置表!$G151</f>
        <v>0.70833333333333337</v>
      </c>
      <c r="U16" s="18"/>
      <c r="V16" s="124">
        <f>配置表!$M217</f>
        <v>45943</v>
      </c>
      <c r="W16" s="125" t="str">
        <f>配置表!$N217</f>
        <v>月</v>
      </c>
      <c r="X16" s="125" t="str">
        <f>配置表!$L217</f>
        <v/>
      </c>
      <c r="Y16" s="126" t="str">
        <f>配置表!$O217</f>
        <v>秋　特別展</v>
      </c>
      <c r="Z16" s="127" t="str">
        <f>配置表!$P217</f>
        <v>テーマ展</v>
      </c>
      <c r="AA16" s="133">
        <f>配置表!$G217</f>
        <v>0.70833333333333337</v>
      </c>
      <c r="AB16" s="18"/>
      <c r="AC16" s="124">
        <f>配置表!$M283</f>
        <v>46004</v>
      </c>
      <c r="AD16" s="125" t="str">
        <f>配置表!$N283</f>
        <v>土</v>
      </c>
      <c r="AE16" s="125" t="str">
        <f>配置表!$L283</f>
        <v/>
      </c>
      <c r="AF16" s="126" t="str">
        <f>配置表!$O283</f>
        <v>冬　特別展</v>
      </c>
      <c r="AG16" s="127" t="str">
        <f>配置表!$P283</f>
        <v>テーマ展</v>
      </c>
      <c r="AH16" s="133">
        <f>配置表!$G283</f>
        <v>0.70833333333333337</v>
      </c>
      <c r="AI16" s="18"/>
      <c r="AJ16" s="124">
        <f>配置表!$M349</f>
        <v>46066</v>
      </c>
      <c r="AK16" s="125" t="str">
        <f>配置表!$N349</f>
        <v>金</v>
      </c>
      <c r="AL16" s="125" t="str">
        <f>配置表!$L349</f>
        <v/>
      </c>
      <c r="AM16" s="126" t="str">
        <f>配置表!$O349</f>
        <v>冬　特別展</v>
      </c>
      <c r="AN16" s="127" t="str">
        <f>配置表!$P349</f>
        <v>テーマ展</v>
      </c>
      <c r="AO16" s="133">
        <f>配置表!$G349</f>
        <v>0.70833333333333337</v>
      </c>
      <c r="AP16" s="18"/>
    </row>
    <row r="17" spans="1:42">
      <c r="A17" s="124">
        <f>配置表!M20</f>
        <v>45761</v>
      </c>
      <c r="B17" s="125" t="str">
        <f>配置表!N20</f>
        <v>月</v>
      </c>
      <c r="C17" s="125" t="str">
        <f>配置表!L20</f>
        <v>閉</v>
      </c>
      <c r="D17" s="126" t="str">
        <f>配置表!O20</f>
        <v>春　特別展</v>
      </c>
      <c r="E17" s="127" t="str">
        <f>配置表!P20</f>
        <v>テーマ展</v>
      </c>
      <c r="F17" s="133">
        <f>配置表!G20</f>
        <v>0.70833333333333337</v>
      </c>
      <c r="G17" s="18"/>
      <c r="H17" s="124">
        <f>配置表!$M86</f>
        <v>45822</v>
      </c>
      <c r="I17" s="125" t="str">
        <f>配置表!$N86</f>
        <v>土</v>
      </c>
      <c r="J17" s="125" t="str">
        <f>配置表!$L86</f>
        <v/>
      </c>
      <c r="K17" s="126" t="str">
        <f>配置表!$O86</f>
        <v>夏　特別展</v>
      </c>
      <c r="L17" s="127" t="str">
        <f>配置表!$P86</f>
        <v>テーマ展</v>
      </c>
      <c r="M17" s="133">
        <f>配置表!$G86</f>
        <v>0.70833333333333337</v>
      </c>
      <c r="N17" s="18"/>
      <c r="O17" s="124">
        <f>配置表!$M152</f>
        <v>45883</v>
      </c>
      <c r="P17" s="125" t="str">
        <f>配置表!$N152</f>
        <v>木</v>
      </c>
      <c r="Q17" s="125" t="str">
        <f>配置表!$L152</f>
        <v/>
      </c>
      <c r="R17" s="126" t="str">
        <f>配置表!$O152</f>
        <v>夏　特別展</v>
      </c>
      <c r="S17" s="127" t="str">
        <f>配置表!$P152</f>
        <v>テーマ展</v>
      </c>
      <c r="T17" s="133">
        <f>配置表!$G152</f>
        <v>0.70833333333333337</v>
      </c>
      <c r="U17" s="18"/>
      <c r="V17" s="124">
        <f>配置表!$M218</f>
        <v>45944</v>
      </c>
      <c r="W17" s="125" t="str">
        <f>配置表!$N218</f>
        <v>火</v>
      </c>
      <c r="X17" s="125" t="str">
        <f>配置表!$L218</f>
        <v>閉</v>
      </c>
      <c r="Y17" s="126" t="str">
        <f>配置表!$O218</f>
        <v>秋　特別展</v>
      </c>
      <c r="Z17" s="127" t="str">
        <f>配置表!$P218</f>
        <v>テーマ展</v>
      </c>
      <c r="AA17" s="133">
        <f>配置表!$G218</f>
        <v>0.70833333333333337</v>
      </c>
      <c r="AB17" s="18"/>
      <c r="AC17" s="124">
        <f>配置表!$M284</f>
        <v>46005</v>
      </c>
      <c r="AD17" s="125" t="str">
        <f>配置表!$N284</f>
        <v>日</v>
      </c>
      <c r="AE17" s="125" t="str">
        <f>配置表!$L284</f>
        <v/>
      </c>
      <c r="AF17" s="126" t="str">
        <f>配置表!$O284</f>
        <v>冬　特別展</v>
      </c>
      <c r="AG17" s="127" t="str">
        <f>配置表!$P284</f>
        <v>テーマ展</v>
      </c>
      <c r="AH17" s="133">
        <f>配置表!$G284</f>
        <v>0.70833333333333337</v>
      </c>
      <c r="AI17" s="18"/>
      <c r="AJ17" s="124">
        <f>配置表!$M350</f>
        <v>46067</v>
      </c>
      <c r="AK17" s="125" t="str">
        <f>配置表!$N350</f>
        <v>土</v>
      </c>
      <c r="AL17" s="125" t="str">
        <f>配置表!$L350</f>
        <v/>
      </c>
      <c r="AM17" s="126" t="str">
        <f>配置表!$O350</f>
        <v>冬　特別展</v>
      </c>
      <c r="AN17" s="127" t="str">
        <f>配置表!$P350</f>
        <v>テーマ展</v>
      </c>
      <c r="AO17" s="133">
        <f>配置表!$G350</f>
        <v>0.70833333333333337</v>
      </c>
      <c r="AP17" s="18"/>
    </row>
    <row r="18" spans="1:42">
      <c r="A18" s="124">
        <f>配置表!M21</f>
        <v>45762</v>
      </c>
      <c r="B18" s="125" t="str">
        <f>配置表!N21</f>
        <v>火</v>
      </c>
      <c r="C18" s="125" t="str">
        <f>配置表!L21</f>
        <v/>
      </c>
      <c r="D18" s="126" t="str">
        <f>配置表!O21</f>
        <v>春　特別展</v>
      </c>
      <c r="E18" s="127" t="str">
        <f>配置表!P21</f>
        <v>テーマ展</v>
      </c>
      <c r="F18" s="133">
        <f>配置表!G21</f>
        <v>0.70833333333333337</v>
      </c>
      <c r="G18" s="18"/>
      <c r="H18" s="124">
        <f>配置表!$M87</f>
        <v>45823</v>
      </c>
      <c r="I18" s="125" t="str">
        <f>配置表!$N87</f>
        <v>日</v>
      </c>
      <c r="J18" s="125" t="str">
        <f>配置表!$L87</f>
        <v/>
      </c>
      <c r="K18" s="126" t="str">
        <f>配置表!$O87</f>
        <v>夏　特別展</v>
      </c>
      <c r="L18" s="127" t="str">
        <f>配置表!$P87</f>
        <v>テーマ展</v>
      </c>
      <c r="M18" s="133">
        <f>配置表!$G87</f>
        <v>0.70833333333333337</v>
      </c>
      <c r="N18" s="18"/>
      <c r="O18" s="124">
        <f>配置表!$M153</f>
        <v>45884</v>
      </c>
      <c r="P18" s="125" t="str">
        <f>配置表!$N153</f>
        <v>金</v>
      </c>
      <c r="Q18" s="125" t="str">
        <f>配置表!$L153</f>
        <v/>
      </c>
      <c r="R18" s="126" t="str">
        <f>配置表!$O153</f>
        <v>夏　特別展</v>
      </c>
      <c r="S18" s="127" t="str">
        <f>配置表!$P153</f>
        <v>テーマ展</v>
      </c>
      <c r="T18" s="133">
        <f>配置表!$G153</f>
        <v>0.70833333333333337</v>
      </c>
      <c r="U18" s="18"/>
      <c r="V18" s="124">
        <f>配置表!$M219</f>
        <v>45945</v>
      </c>
      <c r="W18" s="125" t="str">
        <f>配置表!$N219</f>
        <v>水</v>
      </c>
      <c r="X18" s="125" t="str">
        <f>配置表!$L219</f>
        <v/>
      </c>
      <c r="Y18" s="126" t="str">
        <f>配置表!$O219</f>
        <v>秋　特別展</v>
      </c>
      <c r="Z18" s="127" t="str">
        <f>配置表!$P219</f>
        <v>テーマ展</v>
      </c>
      <c r="AA18" s="133">
        <f>配置表!$G219</f>
        <v>0.70833333333333337</v>
      </c>
      <c r="AB18" s="18"/>
      <c r="AC18" s="124">
        <f>配置表!$M285</f>
        <v>46006</v>
      </c>
      <c r="AD18" s="125" t="str">
        <f>配置表!$N285</f>
        <v>月</v>
      </c>
      <c r="AE18" s="125" t="str">
        <f>配置表!$L285</f>
        <v>閉</v>
      </c>
      <c r="AF18" s="126" t="str">
        <f>配置表!$O285</f>
        <v>冬　特別展</v>
      </c>
      <c r="AG18" s="127" t="str">
        <f>配置表!$P285</f>
        <v>テーマ展</v>
      </c>
      <c r="AH18" s="133">
        <f>配置表!$G285</f>
        <v>0.70833333333333337</v>
      </c>
      <c r="AI18" s="18"/>
      <c r="AJ18" s="124">
        <f>配置表!$M351</f>
        <v>46068</v>
      </c>
      <c r="AK18" s="125" t="str">
        <f>配置表!$N351</f>
        <v>日</v>
      </c>
      <c r="AL18" s="125" t="str">
        <f>配置表!$L351</f>
        <v/>
      </c>
      <c r="AM18" s="126" t="str">
        <f>配置表!$O351</f>
        <v>冬　特別展</v>
      </c>
      <c r="AN18" s="127" t="str">
        <f>配置表!$P351</f>
        <v>テーマ展</v>
      </c>
      <c r="AO18" s="133">
        <f>配置表!$G351</f>
        <v>0.70833333333333337</v>
      </c>
      <c r="AP18" s="18"/>
    </row>
    <row r="19" spans="1:42">
      <c r="A19" s="124">
        <f>配置表!M22</f>
        <v>45763</v>
      </c>
      <c r="B19" s="125" t="str">
        <f>配置表!N22</f>
        <v>水</v>
      </c>
      <c r="C19" s="125" t="str">
        <f>配置表!L22</f>
        <v/>
      </c>
      <c r="D19" s="126" t="str">
        <f>配置表!O22</f>
        <v>春　特別展</v>
      </c>
      <c r="E19" s="127" t="str">
        <f>配置表!P22</f>
        <v>テーマ展</v>
      </c>
      <c r="F19" s="133">
        <f>配置表!G22</f>
        <v>0.70833333333333337</v>
      </c>
      <c r="G19" s="18"/>
      <c r="H19" s="124">
        <f>配置表!$M88</f>
        <v>45824</v>
      </c>
      <c r="I19" s="125" t="str">
        <f>配置表!$N88</f>
        <v>月</v>
      </c>
      <c r="J19" s="125" t="str">
        <f>配置表!$L88</f>
        <v>閉</v>
      </c>
      <c r="K19" s="126" t="str">
        <f>配置表!$O88</f>
        <v>夏　特別展</v>
      </c>
      <c r="L19" s="127" t="str">
        <f>配置表!$P88</f>
        <v>テーマ展</v>
      </c>
      <c r="M19" s="133">
        <f>配置表!$G88</f>
        <v>0.70833333333333337</v>
      </c>
      <c r="N19" s="18"/>
      <c r="O19" s="124">
        <f>配置表!$M154</f>
        <v>45885</v>
      </c>
      <c r="P19" s="125" t="str">
        <f>配置表!$N154</f>
        <v>土</v>
      </c>
      <c r="Q19" s="125" t="str">
        <f>配置表!$L154</f>
        <v/>
      </c>
      <c r="R19" s="126" t="str">
        <f>配置表!$O154</f>
        <v>夏　特別展</v>
      </c>
      <c r="S19" s="127" t="str">
        <f>配置表!$P154</f>
        <v>テーマ展</v>
      </c>
      <c r="T19" s="133">
        <f>配置表!$G154</f>
        <v>0.70833333333333337</v>
      </c>
      <c r="U19" s="18"/>
      <c r="V19" s="124">
        <f>配置表!$M220</f>
        <v>45946</v>
      </c>
      <c r="W19" s="125" t="str">
        <f>配置表!$N220</f>
        <v>木</v>
      </c>
      <c r="X19" s="125" t="str">
        <f>配置表!$L220</f>
        <v/>
      </c>
      <c r="Y19" s="126" t="str">
        <f>配置表!$O220</f>
        <v>秋　特別展</v>
      </c>
      <c r="Z19" s="127" t="str">
        <f>配置表!$P220</f>
        <v>テーマ展</v>
      </c>
      <c r="AA19" s="133">
        <f>配置表!$G220</f>
        <v>0.70833333333333337</v>
      </c>
      <c r="AB19" s="18"/>
      <c r="AC19" s="124">
        <f>配置表!$M286</f>
        <v>46007</v>
      </c>
      <c r="AD19" s="125" t="str">
        <f>配置表!$N286</f>
        <v>火</v>
      </c>
      <c r="AE19" s="125" t="str">
        <f>配置表!$L286</f>
        <v/>
      </c>
      <c r="AF19" s="126" t="str">
        <f>配置表!$O286</f>
        <v>冬　特別展</v>
      </c>
      <c r="AG19" s="127" t="str">
        <f>配置表!$P286</f>
        <v>テーマ展</v>
      </c>
      <c r="AH19" s="133">
        <f>配置表!$G286</f>
        <v>0.70833333333333337</v>
      </c>
      <c r="AI19" s="18"/>
      <c r="AJ19" s="124">
        <f>配置表!$M352</f>
        <v>46069</v>
      </c>
      <c r="AK19" s="125" t="str">
        <f>配置表!$N352</f>
        <v>月</v>
      </c>
      <c r="AL19" s="125" t="str">
        <f>配置表!$L352</f>
        <v>閉</v>
      </c>
      <c r="AM19" s="126" t="str">
        <f>配置表!$O352</f>
        <v>冬　特別展</v>
      </c>
      <c r="AN19" s="127" t="str">
        <f>配置表!$P352</f>
        <v>テーマ展</v>
      </c>
      <c r="AO19" s="133">
        <f>配置表!$G352</f>
        <v>0.70833333333333337</v>
      </c>
      <c r="AP19" s="18"/>
    </row>
    <row r="20" spans="1:42">
      <c r="A20" s="124">
        <f>配置表!M23</f>
        <v>45764</v>
      </c>
      <c r="B20" s="125" t="str">
        <f>配置表!N23</f>
        <v>木</v>
      </c>
      <c r="C20" s="125" t="str">
        <f>配置表!L23</f>
        <v/>
      </c>
      <c r="D20" s="126" t="str">
        <f>配置表!O23</f>
        <v>春　特別展</v>
      </c>
      <c r="E20" s="127" t="str">
        <f>配置表!P23</f>
        <v>テーマ展</v>
      </c>
      <c r="F20" s="133">
        <f>配置表!G23</f>
        <v>0.70833333333333337</v>
      </c>
      <c r="G20" s="18"/>
      <c r="H20" s="124">
        <f>配置表!$M89</f>
        <v>45825</v>
      </c>
      <c r="I20" s="125" t="str">
        <f>配置表!$N89</f>
        <v>火</v>
      </c>
      <c r="J20" s="125" t="str">
        <f>配置表!$L89</f>
        <v/>
      </c>
      <c r="K20" s="126" t="str">
        <f>配置表!$O89</f>
        <v>夏　特別展</v>
      </c>
      <c r="L20" s="127" t="str">
        <f>配置表!$P89</f>
        <v>テーマ展</v>
      </c>
      <c r="M20" s="133">
        <f>配置表!$G89</f>
        <v>0.70833333333333337</v>
      </c>
      <c r="N20" s="18"/>
      <c r="O20" s="124">
        <f>配置表!$M155</f>
        <v>45886</v>
      </c>
      <c r="P20" s="125" t="str">
        <f>配置表!$N155</f>
        <v>日</v>
      </c>
      <c r="Q20" s="125" t="str">
        <f>配置表!$L155</f>
        <v/>
      </c>
      <c r="R20" s="126" t="str">
        <f>配置表!$O155</f>
        <v>夏　特別展</v>
      </c>
      <c r="S20" s="127" t="str">
        <f>配置表!$P155</f>
        <v>テーマ展</v>
      </c>
      <c r="T20" s="133">
        <f>配置表!$G155</f>
        <v>0.70833333333333337</v>
      </c>
      <c r="U20" s="18"/>
      <c r="V20" s="124">
        <f>配置表!$M221</f>
        <v>45947</v>
      </c>
      <c r="W20" s="125" t="str">
        <f>配置表!$N221</f>
        <v>金</v>
      </c>
      <c r="X20" s="125" t="str">
        <f>配置表!$L221</f>
        <v/>
      </c>
      <c r="Y20" s="126" t="str">
        <f>配置表!$O221</f>
        <v>秋　特別展</v>
      </c>
      <c r="Z20" s="127" t="str">
        <f>配置表!$P221</f>
        <v>テーマ展</v>
      </c>
      <c r="AA20" s="133">
        <f>配置表!$G221</f>
        <v>0.70833333333333337</v>
      </c>
      <c r="AB20" s="18"/>
      <c r="AC20" s="124">
        <f>配置表!$M287</f>
        <v>46008</v>
      </c>
      <c r="AD20" s="125" t="str">
        <f>配置表!$N287</f>
        <v>水</v>
      </c>
      <c r="AE20" s="125" t="str">
        <f>配置表!$L287</f>
        <v/>
      </c>
      <c r="AF20" s="126" t="str">
        <f>配置表!$O287</f>
        <v>冬　特別展</v>
      </c>
      <c r="AG20" s="127" t="str">
        <f>配置表!$P287</f>
        <v>テーマ展</v>
      </c>
      <c r="AH20" s="133">
        <f>配置表!$G287</f>
        <v>0.70833333333333337</v>
      </c>
      <c r="AI20" s="18"/>
      <c r="AJ20" s="124">
        <f>配置表!$M353</f>
        <v>46070</v>
      </c>
      <c r="AK20" s="125" t="str">
        <f>配置表!$N353</f>
        <v>火</v>
      </c>
      <c r="AL20" s="125" t="str">
        <f>配置表!$L353</f>
        <v/>
      </c>
      <c r="AM20" s="126" t="str">
        <f>配置表!$O353</f>
        <v>冬　特別展</v>
      </c>
      <c r="AN20" s="127" t="str">
        <f>配置表!$P353</f>
        <v>テーマ展</v>
      </c>
      <c r="AO20" s="133">
        <f>配置表!$G353</f>
        <v>0.70833333333333337</v>
      </c>
      <c r="AP20" s="18"/>
    </row>
    <row r="21" spans="1:42">
      <c r="A21" s="124">
        <f>配置表!M24</f>
        <v>45765</v>
      </c>
      <c r="B21" s="125" t="str">
        <f>配置表!N24</f>
        <v>金</v>
      </c>
      <c r="C21" s="125" t="str">
        <f>配置表!L24</f>
        <v/>
      </c>
      <c r="D21" s="126" t="str">
        <f>配置表!O24</f>
        <v>春　特別展</v>
      </c>
      <c r="E21" s="127" t="str">
        <f>配置表!P24</f>
        <v>テーマ展</v>
      </c>
      <c r="F21" s="133">
        <f>配置表!G24</f>
        <v>0.70833333333333337</v>
      </c>
      <c r="G21" s="18"/>
      <c r="H21" s="124">
        <f>配置表!$M90</f>
        <v>45826</v>
      </c>
      <c r="I21" s="125" t="str">
        <f>配置表!$N90</f>
        <v>水</v>
      </c>
      <c r="J21" s="125" t="str">
        <f>配置表!$L90</f>
        <v/>
      </c>
      <c r="K21" s="126" t="str">
        <f>配置表!$O90</f>
        <v>夏　特別展</v>
      </c>
      <c r="L21" s="127" t="str">
        <f>配置表!$P90</f>
        <v>テーマ展</v>
      </c>
      <c r="M21" s="133">
        <f>配置表!$G90</f>
        <v>0.70833333333333337</v>
      </c>
      <c r="N21" s="18"/>
      <c r="O21" s="124">
        <f>配置表!$M156</f>
        <v>45887</v>
      </c>
      <c r="P21" s="125" t="str">
        <f>配置表!$N156</f>
        <v>月</v>
      </c>
      <c r="Q21" s="125" t="str">
        <f>配置表!$L156</f>
        <v>閉</v>
      </c>
      <c r="R21" s="126" t="str">
        <f>配置表!$O156</f>
        <v>夏　特別展</v>
      </c>
      <c r="S21" s="127" t="str">
        <f>配置表!$P156</f>
        <v>テーマ展</v>
      </c>
      <c r="T21" s="133">
        <f>配置表!$G156</f>
        <v>0.70833333333333337</v>
      </c>
      <c r="U21" s="18"/>
      <c r="V21" s="124">
        <f>配置表!$M222</f>
        <v>45948</v>
      </c>
      <c r="W21" s="125" t="str">
        <f>配置表!$N222</f>
        <v>土</v>
      </c>
      <c r="X21" s="125" t="str">
        <f>配置表!$L222</f>
        <v/>
      </c>
      <c r="Y21" s="126" t="str">
        <f>配置表!$O222</f>
        <v>秋　特別展</v>
      </c>
      <c r="Z21" s="127" t="str">
        <f>配置表!$P222</f>
        <v>テーマ展</v>
      </c>
      <c r="AA21" s="133">
        <f>配置表!$G222</f>
        <v>0.70833333333333337</v>
      </c>
      <c r="AB21" s="18"/>
      <c r="AC21" s="124">
        <f>配置表!$M288</f>
        <v>46009</v>
      </c>
      <c r="AD21" s="125" t="str">
        <f>配置表!$N288</f>
        <v>木</v>
      </c>
      <c r="AE21" s="125" t="str">
        <f>配置表!$L288</f>
        <v/>
      </c>
      <c r="AF21" s="126" t="str">
        <f>配置表!$O288</f>
        <v>冬　特別展</v>
      </c>
      <c r="AG21" s="127" t="str">
        <f>配置表!$P288</f>
        <v>テーマ展</v>
      </c>
      <c r="AH21" s="133">
        <f>配置表!$G288</f>
        <v>0.70833333333333337</v>
      </c>
      <c r="AI21" s="18"/>
      <c r="AJ21" s="124">
        <f>配置表!$M354</f>
        <v>46071</v>
      </c>
      <c r="AK21" s="125" t="str">
        <f>配置表!$N354</f>
        <v>水</v>
      </c>
      <c r="AL21" s="125" t="str">
        <f>配置表!$L354</f>
        <v/>
      </c>
      <c r="AM21" s="126" t="str">
        <f>配置表!$O354</f>
        <v>冬　特別展</v>
      </c>
      <c r="AN21" s="127" t="str">
        <f>配置表!$P354</f>
        <v>テーマ展</v>
      </c>
      <c r="AO21" s="133">
        <f>配置表!$G354</f>
        <v>0.70833333333333337</v>
      </c>
      <c r="AP21" s="18"/>
    </row>
    <row r="22" spans="1:42">
      <c r="A22" s="124">
        <f>配置表!M25</f>
        <v>45766</v>
      </c>
      <c r="B22" s="125" t="str">
        <f>配置表!N25</f>
        <v>土</v>
      </c>
      <c r="C22" s="125" t="str">
        <f>配置表!L25</f>
        <v/>
      </c>
      <c r="D22" s="126" t="str">
        <f>配置表!O25</f>
        <v>春　特別展</v>
      </c>
      <c r="E22" s="127" t="str">
        <f>配置表!P25</f>
        <v>テーマ展</v>
      </c>
      <c r="F22" s="133">
        <f>配置表!G25</f>
        <v>0.70833333333333337</v>
      </c>
      <c r="G22" s="18"/>
      <c r="H22" s="124">
        <f>配置表!$M91</f>
        <v>45827</v>
      </c>
      <c r="I22" s="125" t="str">
        <f>配置表!$N91</f>
        <v>木</v>
      </c>
      <c r="J22" s="125" t="str">
        <f>配置表!$L91</f>
        <v/>
      </c>
      <c r="K22" s="126" t="str">
        <f>配置表!$O91</f>
        <v>夏　特別展</v>
      </c>
      <c r="L22" s="127" t="str">
        <f>配置表!$P91</f>
        <v>テーマ展</v>
      </c>
      <c r="M22" s="133">
        <f>配置表!$G91</f>
        <v>0.70833333333333337</v>
      </c>
      <c r="N22" s="18"/>
      <c r="O22" s="124">
        <f>配置表!$M157</f>
        <v>45888</v>
      </c>
      <c r="P22" s="125" t="str">
        <f>配置表!$N157</f>
        <v>火</v>
      </c>
      <c r="Q22" s="125" t="str">
        <f>配置表!$L157</f>
        <v/>
      </c>
      <c r="R22" s="126" t="str">
        <f>配置表!$O157</f>
        <v>夏　特別展</v>
      </c>
      <c r="S22" s="127" t="str">
        <f>配置表!$P157</f>
        <v>テーマ展</v>
      </c>
      <c r="T22" s="133">
        <f>配置表!$G157</f>
        <v>0.70833333333333337</v>
      </c>
      <c r="U22" s="18"/>
      <c r="V22" s="124">
        <f>配置表!$M223</f>
        <v>45949</v>
      </c>
      <c r="W22" s="125" t="str">
        <f>配置表!$N223</f>
        <v>日</v>
      </c>
      <c r="X22" s="125" t="str">
        <f>配置表!$L223</f>
        <v/>
      </c>
      <c r="Y22" s="126" t="str">
        <f>配置表!$O223</f>
        <v>秋　特別展</v>
      </c>
      <c r="Z22" s="127" t="str">
        <f>配置表!$P223</f>
        <v>テーマ展</v>
      </c>
      <c r="AA22" s="133">
        <f>配置表!$G223</f>
        <v>0.70833333333333337</v>
      </c>
      <c r="AB22" s="18"/>
      <c r="AC22" s="124">
        <f>配置表!$M289</f>
        <v>46010</v>
      </c>
      <c r="AD22" s="125" t="str">
        <f>配置表!$N289</f>
        <v>金</v>
      </c>
      <c r="AE22" s="125" t="str">
        <f>配置表!$L289</f>
        <v/>
      </c>
      <c r="AF22" s="126" t="str">
        <f>配置表!$O289</f>
        <v>冬　特別展</v>
      </c>
      <c r="AG22" s="127" t="str">
        <f>配置表!$P289</f>
        <v>テーマ展</v>
      </c>
      <c r="AH22" s="133">
        <f>配置表!$G289</f>
        <v>0.70833333333333337</v>
      </c>
      <c r="AI22" s="18"/>
      <c r="AJ22" s="124">
        <f>配置表!$M355</f>
        <v>46072</v>
      </c>
      <c r="AK22" s="125" t="str">
        <f>配置表!$N355</f>
        <v>木</v>
      </c>
      <c r="AL22" s="125" t="str">
        <f>配置表!$L355</f>
        <v/>
      </c>
      <c r="AM22" s="126" t="str">
        <f>配置表!$O355</f>
        <v>冬　特別展</v>
      </c>
      <c r="AN22" s="127" t="str">
        <f>配置表!$P355</f>
        <v>テーマ展</v>
      </c>
      <c r="AO22" s="133">
        <f>配置表!$G355</f>
        <v>0.70833333333333337</v>
      </c>
      <c r="AP22" s="18"/>
    </row>
    <row r="23" spans="1:42">
      <c r="A23" s="124">
        <f>配置表!M26</f>
        <v>45767</v>
      </c>
      <c r="B23" s="125" t="str">
        <f>配置表!N26</f>
        <v>日</v>
      </c>
      <c r="C23" s="125" t="str">
        <f>配置表!L26</f>
        <v/>
      </c>
      <c r="D23" s="126" t="str">
        <f>配置表!O26</f>
        <v>春　特別展</v>
      </c>
      <c r="E23" s="127" t="str">
        <f>配置表!P26</f>
        <v>テーマ展</v>
      </c>
      <c r="F23" s="133">
        <f>配置表!G26</f>
        <v>0.70833333333333337</v>
      </c>
      <c r="G23" s="18"/>
      <c r="H23" s="124">
        <f>配置表!$M92</f>
        <v>45828</v>
      </c>
      <c r="I23" s="125" t="str">
        <f>配置表!$N92</f>
        <v>金</v>
      </c>
      <c r="J23" s="125" t="str">
        <f>配置表!$L92</f>
        <v/>
      </c>
      <c r="K23" s="126" t="str">
        <f>配置表!$O92</f>
        <v>夏　特別展</v>
      </c>
      <c r="L23" s="127" t="str">
        <f>配置表!$P92</f>
        <v>テーマ展</v>
      </c>
      <c r="M23" s="133">
        <f>配置表!$G92</f>
        <v>0.70833333333333337</v>
      </c>
      <c r="N23" s="18"/>
      <c r="O23" s="124">
        <f>配置表!$M158</f>
        <v>45889</v>
      </c>
      <c r="P23" s="125" t="str">
        <f>配置表!$N158</f>
        <v>水</v>
      </c>
      <c r="Q23" s="125" t="str">
        <f>配置表!$L158</f>
        <v/>
      </c>
      <c r="R23" s="126" t="str">
        <f>配置表!$O158</f>
        <v>夏　特別展</v>
      </c>
      <c r="S23" s="127" t="str">
        <f>配置表!$P158</f>
        <v>テーマ展</v>
      </c>
      <c r="T23" s="133">
        <f>配置表!$G158</f>
        <v>0.70833333333333337</v>
      </c>
      <c r="U23" s="18"/>
      <c r="V23" s="124">
        <f>配置表!$M224</f>
        <v>45950</v>
      </c>
      <c r="W23" s="125" t="str">
        <f>配置表!$N224</f>
        <v>月</v>
      </c>
      <c r="X23" s="125" t="str">
        <f>配置表!$L224</f>
        <v>閉</v>
      </c>
      <c r="Y23" s="126" t="str">
        <f>配置表!$O224</f>
        <v>秋　特別展</v>
      </c>
      <c r="Z23" s="127" t="str">
        <f>配置表!$P224</f>
        <v>テーマ展</v>
      </c>
      <c r="AA23" s="133">
        <f>配置表!$G224</f>
        <v>0.70833333333333337</v>
      </c>
      <c r="AB23" s="18"/>
      <c r="AC23" s="124">
        <f>配置表!$M290</f>
        <v>46011</v>
      </c>
      <c r="AD23" s="125" t="str">
        <f>配置表!$N290</f>
        <v>土</v>
      </c>
      <c r="AE23" s="125" t="str">
        <f>配置表!$L290</f>
        <v/>
      </c>
      <c r="AF23" s="126" t="str">
        <f>配置表!$O290</f>
        <v>冬　特別展</v>
      </c>
      <c r="AG23" s="127" t="str">
        <f>配置表!$P290</f>
        <v>テーマ展</v>
      </c>
      <c r="AH23" s="133">
        <f>配置表!$G290</f>
        <v>0.70833333333333337</v>
      </c>
      <c r="AI23" s="18"/>
      <c r="AJ23" s="124">
        <f>配置表!$M356</f>
        <v>46073</v>
      </c>
      <c r="AK23" s="125" t="str">
        <f>配置表!$N356</f>
        <v>金</v>
      </c>
      <c r="AL23" s="125" t="str">
        <f>配置表!$L356</f>
        <v/>
      </c>
      <c r="AM23" s="126" t="str">
        <f>配置表!$O356</f>
        <v>冬　特別展</v>
      </c>
      <c r="AN23" s="127" t="str">
        <f>配置表!$P356</f>
        <v>テーマ展</v>
      </c>
      <c r="AO23" s="133">
        <f>配置表!$G356</f>
        <v>0.70833333333333337</v>
      </c>
      <c r="AP23" s="18"/>
    </row>
    <row r="24" spans="1:42">
      <c r="A24" s="124">
        <f>配置表!M27</f>
        <v>45768</v>
      </c>
      <c r="B24" s="125" t="str">
        <f>配置表!N27</f>
        <v>月</v>
      </c>
      <c r="C24" s="125" t="str">
        <f>配置表!L27</f>
        <v>閉</v>
      </c>
      <c r="D24" s="126" t="str">
        <f>配置表!O27</f>
        <v>春　特別展</v>
      </c>
      <c r="E24" s="127" t="str">
        <f>配置表!P27</f>
        <v>テーマ展</v>
      </c>
      <c r="F24" s="133">
        <f>配置表!G27</f>
        <v>0.70833333333333337</v>
      </c>
      <c r="G24" s="18"/>
      <c r="H24" s="124">
        <f>配置表!$M93</f>
        <v>45829</v>
      </c>
      <c r="I24" s="125" t="str">
        <f>配置表!$N93</f>
        <v>土</v>
      </c>
      <c r="J24" s="125" t="str">
        <f>配置表!$L93</f>
        <v/>
      </c>
      <c r="K24" s="126" t="str">
        <f>配置表!$O93</f>
        <v>夏　特別展</v>
      </c>
      <c r="L24" s="127" t="str">
        <f>配置表!$P93</f>
        <v>テーマ展</v>
      </c>
      <c r="M24" s="133">
        <f>配置表!$G93</f>
        <v>0.70833333333333337</v>
      </c>
      <c r="N24" s="18"/>
      <c r="O24" s="124">
        <f>配置表!$M159</f>
        <v>45890</v>
      </c>
      <c r="P24" s="125" t="str">
        <f>配置表!$N159</f>
        <v>木</v>
      </c>
      <c r="Q24" s="125" t="str">
        <f>配置表!$L159</f>
        <v/>
      </c>
      <c r="R24" s="126" t="str">
        <f>配置表!$O159</f>
        <v>夏　特別展</v>
      </c>
      <c r="S24" s="127" t="str">
        <f>配置表!$P159</f>
        <v>テーマ展</v>
      </c>
      <c r="T24" s="133">
        <f>配置表!$G159</f>
        <v>0.70833333333333337</v>
      </c>
      <c r="U24" s="18"/>
      <c r="V24" s="124">
        <f>配置表!$M225</f>
        <v>45951</v>
      </c>
      <c r="W24" s="125" t="str">
        <f>配置表!$N225</f>
        <v>火</v>
      </c>
      <c r="X24" s="125" t="str">
        <f>配置表!$L225</f>
        <v/>
      </c>
      <c r="Y24" s="126" t="str">
        <f>配置表!$O225</f>
        <v>秋　特別展</v>
      </c>
      <c r="Z24" s="127" t="str">
        <f>配置表!$P225</f>
        <v>テーマ展</v>
      </c>
      <c r="AA24" s="133">
        <f>配置表!$G225</f>
        <v>0.70833333333333337</v>
      </c>
      <c r="AB24" s="18"/>
      <c r="AC24" s="124">
        <f>配置表!$M291</f>
        <v>46012</v>
      </c>
      <c r="AD24" s="125" t="str">
        <f>配置表!$N291</f>
        <v>日</v>
      </c>
      <c r="AE24" s="125" t="str">
        <f>配置表!$L291</f>
        <v/>
      </c>
      <c r="AF24" s="126" t="str">
        <f>配置表!$O291</f>
        <v>冬　特別展</v>
      </c>
      <c r="AG24" s="127" t="str">
        <f>配置表!$P291</f>
        <v>テーマ展</v>
      </c>
      <c r="AH24" s="133">
        <f>配置表!$G291</f>
        <v>0.70833333333333337</v>
      </c>
      <c r="AI24" s="18"/>
      <c r="AJ24" s="124">
        <f>配置表!$M357</f>
        <v>46074</v>
      </c>
      <c r="AK24" s="125" t="str">
        <f>配置表!$N357</f>
        <v>土</v>
      </c>
      <c r="AL24" s="125" t="str">
        <f>配置表!$L357</f>
        <v/>
      </c>
      <c r="AM24" s="126" t="str">
        <f>配置表!$O357</f>
        <v>冬　特別展</v>
      </c>
      <c r="AN24" s="127" t="str">
        <f>配置表!$P357</f>
        <v>テーマ展</v>
      </c>
      <c r="AO24" s="133">
        <f>配置表!$G357</f>
        <v>0.70833333333333337</v>
      </c>
      <c r="AP24" s="18"/>
    </row>
    <row r="25" spans="1:42">
      <c r="A25" s="124">
        <f>配置表!M28</f>
        <v>45769</v>
      </c>
      <c r="B25" s="125" t="str">
        <f>配置表!N28</f>
        <v>火</v>
      </c>
      <c r="C25" s="125" t="str">
        <f>配置表!L28</f>
        <v/>
      </c>
      <c r="D25" s="126" t="str">
        <f>配置表!O28</f>
        <v>春　特別展</v>
      </c>
      <c r="E25" s="127" t="str">
        <f>配置表!P28</f>
        <v>テーマ展</v>
      </c>
      <c r="F25" s="133">
        <f>配置表!G28</f>
        <v>0.70833333333333337</v>
      </c>
      <c r="G25" s="18"/>
      <c r="H25" s="124">
        <f>配置表!$M94</f>
        <v>45830</v>
      </c>
      <c r="I25" s="125" t="str">
        <f>配置表!$N94</f>
        <v>日</v>
      </c>
      <c r="J25" s="125" t="str">
        <f>配置表!$L94</f>
        <v/>
      </c>
      <c r="K25" s="126" t="str">
        <f>配置表!$O94</f>
        <v>夏　特別展</v>
      </c>
      <c r="L25" s="127" t="str">
        <f>配置表!$P94</f>
        <v>テーマ展</v>
      </c>
      <c r="M25" s="133">
        <f>配置表!$G94</f>
        <v>0.70833333333333337</v>
      </c>
      <c r="N25" s="18"/>
      <c r="O25" s="124">
        <f>配置表!$M160</f>
        <v>45891</v>
      </c>
      <c r="P25" s="125" t="str">
        <f>配置表!$N160</f>
        <v>金</v>
      </c>
      <c r="Q25" s="125" t="str">
        <f>配置表!$L160</f>
        <v/>
      </c>
      <c r="R25" s="126" t="str">
        <f>配置表!$O160</f>
        <v>夏　特別展</v>
      </c>
      <c r="S25" s="127" t="str">
        <f>配置表!$P160</f>
        <v>テーマ展</v>
      </c>
      <c r="T25" s="133">
        <f>配置表!$G160</f>
        <v>0.70833333333333337</v>
      </c>
      <c r="U25" s="18"/>
      <c r="V25" s="124">
        <f>配置表!$M226</f>
        <v>45952</v>
      </c>
      <c r="W25" s="125" t="str">
        <f>配置表!$N226</f>
        <v>水</v>
      </c>
      <c r="X25" s="125" t="str">
        <f>配置表!$L226</f>
        <v/>
      </c>
      <c r="Y25" s="126" t="str">
        <f>配置表!$O226</f>
        <v>秋　特別展</v>
      </c>
      <c r="Z25" s="127" t="str">
        <f>配置表!$P226</f>
        <v>テーマ展</v>
      </c>
      <c r="AA25" s="133">
        <f>配置表!$G226</f>
        <v>0.70833333333333337</v>
      </c>
      <c r="AB25" s="18"/>
      <c r="AC25" s="124">
        <f>配置表!$M292</f>
        <v>46013</v>
      </c>
      <c r="AD25" s="125" t="str">
        <f>配置表!$N292</f>
        <v>月</v>
      </c>
      <c r="AE25" s="125" t="str">
        <f>配置表!$L292</f>
        <v>閉</v>
      </c>
      <c r="AF25" s="126" t="str">
        <f>配置表!$O292</f>
        <v>冬　特別展</v>
      </c>
      <c r="AG25" s="127" t="str">
        <f>配置表!$P292</f>
        <v>テーマ展</v>
      </c>
      <c r="AH25" s="133">
        <f>配置表!$G292</f>
        <v>0.70833333333333337</v>
      </c>
      <c r="AI25" s="18"/>
      <c r="AJ25" s="124">
        <f>配置表!$M358</f>
        <v>46075</v>
      </c>
      <c r="AK25" s="125" t="str">
        <f>配置表!$N358</f>
        <v>日</v>
      </c>
      <c r="AL25" s="125" t="str">
        <f>配置表!$L358</f>
        <v/>
      </c>
      <c r="AM25" s="126" t="str">
        <f>配置表!$O358</f>
        <v>冬　特別展</v>
      </c>
      <c r="AN25" s="127" t="str">
        <f>配置表!$P358</f>
        <v>テーマ展</v>
      </c>
      <c r="AO25" s="133">
        <f>配置表!$G358</f>
        <v>0.70833333333333337</v>
      </c>
      <c r="AP25" s="18"/>
    </row>
    <row r="26" spans="1:42">
      <c r="A26" s="124">
        <f>配置表!M29</f>
        <v>45770</v>
      </c>
      <c r="B26" s="125" t="str">
        <f>配置表!N29</f>
        <v>水</v>
      </c>
      <c r="C26" s="125" t="str">
        <f>配置表!L29</f>
        <v/>
      </c>
      <c r="D26" s="126" t="str">
        <f>配置表!O29</f>
        <v>春　特別展</v>
      </c>
      <c r="E26" s="127" t="str">
        <f>配置表!P29</f>
        <v>テーマ展</v>
      </c>
      <c r="F26" s="133">
        <f>配置表!G29</f>
        <v>0.70833333333333337</v>
      </c>
      <c r="G26" s="18"/>
      <c r="H26" s="124">
        <f>配置表!$M95</f>
        <v>45831</v>
      </c>
      <c r="I26" s="125" t="str">
        <f>配置表!$N95</f>
        <v>月</v>
      </c>
      <c r="J26" s="125" t="str">
        <f>配置表!$L95</f>
        <v>閉</v>
      </c>
      <c r="K26" s="126" t="str">
        <f>配置表!$O95</f>
        <v>夏　特別展</v>
      </c>
      <c r="L26" s="127" t="str">
        <f>配置表!$P95</f>
        <v>テーマ展</v>
      </c>
      <c r="M26" s="133">
        <f>配置表!$G95</f>
        <v>0.70833333333333337</v>
      </c>
      <c r="N26" s="18"/>
      <c r="O26" s="124">
        <f>配置表!$M161</f>
        <v>45892</v>
      </c>
      <c r="P26" s="125" t="str">
        <f>配置表!$N161</f>
        <v>土</v>
      </c>
      <c r="Q26" s="125" t="str">
        <f>配置表!$L161</f>
        <v/>
      </c>
      <c r="R26" s="126" t="str">
        <f>配置表!$O161</f>
        <v>夏　特別展</v>
      </c>
      <c r="S26" s="127" t="str">
        <f>配置表!$P161</f>
        <v>テーマ展</v>
      </c>
      <c r="T26" s="133">
        <f>配置表!$G161</f>
        <v>0.70833333333333337</v>
      </c>
      <c r="U26" s="18"/>
      <c r="V26" s="124">
        <f>配置表!$M227</f>
        <v>45953</v>
      </c>
      <c r="W26" s="125" t="str">
        <f>配置表!$N227</f>
        <v>木</v>
      </c>
      <c r="X26" s="125" t="str">
        <f>配置表!$L227</f>
        <v/>
      </c>
      <c r="Y26" s="126" t="str">
        <f>配置表!$O227</f>
        <v>秋　特別展</v>
      </c>
      <c r="Z26" s="127" t="str">
        <f>配置表!$P227</f>
        <v>テーマ展</v>
      </c>
      <c r="AA26" s="133">
        <f>配置表!$G227</f>
        <v>0.70833333333333337</v>
      </c>
      <c r="AB26" s="18"/>
      <c r="AC26" s="124">
        <f>配置表!$M293</f>
        <v>46014</v>
      </c>
      <c r="AD26" s="125" t="str">
        <f>配置表!$N293</f>
        <v>火</v>
      </c>
      <c r="AE26" s="125" t="str">
        <f>配置表!$L293</f>
        <v/>
      </c>
      <c r="AF26" s="126" t="str">
        <f>配置表!$O293</f>
        <v>冬　特別展</v>
      </c>
      <c r="AG26" s="127" t="str">
        <f>配置表!$P293</f>
        <v>テーマ展</v>
      </c>
      <c r="AH26" s="133">
        <f>配置表!$G293</f>
        <v>0.70833333333333337</v>
      </c>
      <c r="AI26" s="18"/>
      <c r="AJ26" s="124">
        <f>配置表!$M359</f>
        <v>46076</v>
      </c>
      <c r="AK26" s="125" t="str">
        <f>配置表!$N359</f>
        <v>月</v>
      </c>
      <c r="AL26" s="125" t="str">
        <f>配置表!$L359</f>
        <v/>
      </c>
      <c r="AM26" s="126" t="str">
        <f>配置表!$O359</f>
        <v>冬　特別展</v>
      </c>
      <c r="AN26" s="127" t="str">
        <f>配置表!$P359</f>
        <v>テーマ展</v>
      </c>
      <c r="AO26" s="133">
        <f>配置表!$G359</f>
        <v>0.70833333333333337</v>
      </c>
      <c r="AP26" s="18"/>
    </row>
    <row r="27" spans="1:42">
      <c r="A27" s="124">
        <f>配置表!M30</f>
        <v>45771</v>
      </c>
      <c r="B27" s="125" t="str">
        <f>配置表!N30</f>
        <v>木</v>
      </c>
      <c r="C27" s="125" t="str">
        <f>配置表!L30</f>
        <v/>
      </c>
      <c r="D27" s="126" t="str">
        <f>配置表!O30</f>
        <v>春　特別展</v>
      </c>
      <c r="E27" s="127" t="str">
        <f>配置表!P30</f>
        <v>テーマ展</v>
      </c>
      <c r="F27" s="133">
        <f>配置表!G30</f>
        <v>0.70833333333333337</v>
      </c>
      <c r="G27" s="18"/>
      <c r="H27" s="124">
        <f>配置表!$M96</f>
        <v>45832</v>
      </c>
      <c r="I27" s="125" t="str">
        <f>配置表!$N96</f>
        <v>火</v>
      </c>
      <c r="J27" s="125" t="str">
        <f>配置表!$L96</f>
        <v/>
      </c>
      <c r="K27" s="126" t="str">
        <f>配置表!$O96</f>
        <v>夏　特別展</v>
      </c>
      <c r="L27" s="127" t="str">
        <f>配置表!$P96</f>
        <v>テーマ展</v>
      </c>
      <c r="M27" s="133">
        <f>配置表!$G96</f>
        <v>0.70833333333333337</v>
      </c>
      <c r="N27" s="18"/>
      <c r="O27" s="124">
        <f>配置表!$M162</f>
        <v>45893</v>
      </c>
      <c r="P27" s="125" t="str">
        <f>配置表!$N162</f>
        <v>日</v>
      </c>
      <c r="Q27" s="125" t="str">
        <f>配置表!$L162</f>
        <v/>
      </c>
      <c r="R27" s="126" t="str">
        <f>配置表!$O162</f>
        <v>夏　特別展</v>
      </c>
      <c r="S27" s="127" t="str">
        <f>配置表!$P162</f>
        <v>テーマ展</v>
      </c>
      <c r="T27" s="133">
        <f>配置表!$G162</f>
        <v>0.70833333333333337</v>
      </c>
      <c r="U27" s="18"/>
      <c r="V27" s="124">
        <f>配置表!$M228</f>
        <v>45954</v>
      </c>
      <c r="W27" s="125" t="str">
        <f>配置表!$N228</f>
        <v>金</v>
      </c>
      <c r="X27" s="125" t="str">
        <f>配置表!$L228</f>
        <v/>
      </c>
      <c r="Y27" s="126" t="str">
        <f>配置表!$O228</f>
        <v>秋　特別展</v>
      </c>
      <c r="Z27" s="127" t="str">
        <f>配置表!$P228</f>
        <v>テーマ展</v>
      </c>
      <c r="AA27" s="133">
        <f>配置表!$G228</f>
        <v>0.70833333333333337</v>
      </c>
      <c r="AB27" s="18"/>
      <c r="AC27" s="124">
        <f>配置表!$M294</f>
        <v>46015</v>
      </c>
      <c r="AD27" s="125" t="str">
        <f>配置表!$N294</f>
        <v>水</v>
      </c>
      <c r="AE27" s="125" t="str">
        <f>配置表!$L294</f>
        <v/>
      </c>
      <c r="AF27" s="126" t="str">
        <f>配置表!$O294</f>
        <v>冬　特別展</v>
      </c>
      <c r="AG27" s="127" t="str">
        <f>配置表!$P294</f>
        <v>テーマ展</v>
      </c>
      <c r="AH27" s="133">
        <f>配置表!$G294</f>
        <v>0.70833333333333337</v>
      </c>
      <c r="AI27" s="18"/>
      <c r="AJ27" s="124">
        <f>配置表!$M360</f>
        <v>46077</v>
      </c>
      <c r="AK27" s="125" t="str">
        <f>配置表!$N360</f>
        <v>火</v>
      </c>
      <c r="AL27" s="125" t="str">
        <f>配置表!$L360</f>
        <v>閉</v>
      </c>
      <c r="AM27" s="126" t="str">
        <f>配置表!$O360</f>
        <v/>
      </c>
      <c r="AN27" s="127" t="str">
        <f>配置表!$P360</f>
        <v/>
      </c>
      <c r="AO27" s="133">
        <f>配置表!$G360</f>
        <v>0.70833333333333337</v>
      </c>
      <c r="AP27" s="18"/>
    </row>
    <row r="28" spans="1:42">
      <c r="A28" s="124">
        <f>配置表!M31</f>
        <v>45772</v>
      </c>
      <c r="B28" s="125" t="str">
        <f>配置表!N31</f>
        <v>金</v>
      </c>
      <c r="C28" s="125" t="str">
        <f>配置表!L31</f>
        <v/>
      </c>
      <c r="D28" s="126" t="str">
        <f>配置表!O31</f>
        <v>春　特別展</v>
      </c>
      <c r="E28" s="127" t="str">
        <f>配置表!P31</f>
        <v>テーマ展</v>
      </c>
      <c r="F28" s="133">
        <f>配置表!G31</f>
        <v>0.70833333333333337</v>
      </c>
      <c r="G28" s="18"/>
      <c r="H28" s="124">
        <f>配置表!$M97</f>
        <v>45833</v>
      </c>
      <c r="I28" s="125" t="str">
        <f>配置表!$N97</f>
        <v>水</v>
      </c>
      <c r="J28" s="125" t="str">
        <f>配置表!$L97</f>
        <v/>
      </c>
      <c r="K28" s="126" t="str">
        <f>配置表!$O97</f>
        <v>夏　特別展</v>
      </c>
      <c r="L28" s="127" t="str">
        <f>配置表!$P97</f>
        <v>テーマ展</v>
      </c>
      <c r="M28" s="133">
        <f>配置表!$G97</f>
        <v>0.70833333333333337</v>
      </c>
      <c r="N28" s="18"/>
      <c r="O28" s="124">
        <f>配置表!$M163</f>
        <v>45894</v>
      </c>
      <c r="P28" s="125" t="str">
        <f>配置表!$N163</f>
        <v>月</v>
      </c>
      <c r="Q28" s="125" t="str">
        <f>配置表!$L163</f>
        <v>閉</v>
      </c>
      <c r="R28" s="126" t="str">
        <f>配置表!$O163</f>
        <v/>
      </c>
      <c r="S28" s="127" t="str">
        <f>配置表!$P163</f>
        <v>テーマ展</v>
      </c>
      <c r="T28" s="133">
        <f>配置表!$G163</f>
        <v>0.70833333333333337</v>
      </c>
      <c r="U28" s="18"/>
      <c r="V28" s="124">
        <f>配置表!$M229</f>
        <v>45955</v>
      </c>
      <c r="W28" s="125" t="str">
        <f>配置表!$N229</f>
        <v>土</v>
      </c>
      <c r="X28" s="125" t="str">
        <f>配置表!$L229</f>
        <v/>
      </c>
      <c r="Y28" s="126" t="str">
        <f>配置表!$O229</f>
        <v>秋　特別展</v>
      </c>
      <c r="Z28" s="127" t="str">
        <f>配置表!$P229</f>
        <v>テーマ展</v>
      </c>
      <c r="AA28" s="133">
        <f>配置表!$G229</f>
        <v>0.70833333333333337</v>
      </c>
      <c r="AB28" s="18"/>
      <c r="AC28" s="124">
        <f>配置表!$M295</f>
        <v>46016</v>
      </c>
      <c r="AD28" s="125" t="str">
        <f>配置表!$N295</f>
        <v>木</v>
      </c>
      <c r="AE28" s="125" t="str">
        <f>配置表!$L295</f>
        <v/>
      </c>
      <c r="AF28" s="126" t="str">
        <f>配置表!$O295</f>
        <v>冬　特別展</v>
      </c>
      <c r="AG28" s="127" t="str">
        <f>配置表!$P295</f>
        <v>テーマ展</v>
      </c>
      <c r="AH28" s="133">
        <f>配置表!$G295</f>
        <v>0.70833333333333337</v>
      </c>
      <c r="AI28" s="18"/>
      <c r="AJ28" s="124">
        <f>配置表!$M361</f>
        <v>46078</v>
      </c>
      <c r="AK28" s="125" t="str">
        <f>配置表!$N361</f>
        <v>水</v>
      </c>
      <c r="AL28" s="125" t="str">
        <f>配置表!$L361</f>
        <v>閉</v>
      </c>
      <c r="AM28" s="126" t="str">
        <f>配置表!$O361</f>
        <v/>
      </c>
      <c r="AN28" s="127" t="str">
        <f>配置表!$P361</f>
        <v/>
      </c>
      <c r="AO28" s="133">
        <f>配置表!$G361</f>
        <v>0.70833333333333337</v>
      </c>
      <c r="AP28" s="18"/>
    </row>
    <row r="29" spans="1:42">
      <c r="A29" s="124">
        <f>配置表!M32</f>
        <v>45773</v>
      </c>
      <c r="B29" s="125" t="str">
        <f>配置表!N32</f>
        <v>土</v>
      </c>
      <c r="C29" s="125" t="str">
        <f>配置表!L32</f>
        <v/>
      </c>
      <c r="D29" s="126" t="str">
        <f>配置表!O32</f>
        <v>春　特別展</v>
      </c>
      <c r="E29" s="127" t="str">
        <f>配置表!P32</f>
        <v>テーマ展</v>
      </c>
      <c r="F29" s="133">
        <f>配置表!G32</f>
        <v>0.70833333333333337</v>
      </c>
      <c r="G29" s="18"/>
      <c r="H29" s="124">
        <f>配置表!$M98</f>
        <v>45834</v>
      </c>
      <c r="I29" s="125" t="str">
        <f>配置表!$N98</f>
        <v>木</v>
      </c>
      <c r="J29" s="125" t="str">
        <f>配置表!$L98</f>
        <v/>
      </c>
      <c r="K29" s="126" t="str">
        <f>配置表!$O98</f>
        <v>夏　特別展</v>
      </c>
      <c r="L29" s="127" t="str">
        <f>配置表!$P98</f>
        <v>テーマ展</v>
      </c>
      <c r="M29" s="133">
        <f>配置表!$G98</f>
        <v>0.70833333333333337</v>
      </c>
      <c r="N29" s="18"/>
      <c r="O29" s="124">
        <f>配置表!$M164</f>
        <v>45895</v>
      </c>
      <c r="P29" s="125" t="str">
        <f>配置表!$N164</f>
        <v>火</v>
      </c>
      <c r="Q29" s="125" t="str">
        <f>配置表!$L164</f>
        <v/>
      </c>
      <c r="R29" s="126" t="str">
        <f>配置表!$O164</f>
        <v/>
      </c>
      <c r="S29" s="127" t="str">
        <f>配置表!$P164</f>
        <v>テーマ展</v>
      </c>
      <c r="T29" s="133">
        <f>配置表!$G164</f>
        <v>0.70833333333333337</v>
      </c>
      <c r="U29" s="18"/>
      <c r="V29" s="124">
        <f>配置表!$M230</f>
        <v>45956</v>
      </c>
      <c r="W29" s="125" t="str">
        <f>配置表!$N230</f>
        <v>日</v>
      </c>
      <c r="X29" s="125" t="str">
        <f>配置表!$L230</f>
        <v/>
      </c>
      <c r="Y29" s="126" t="str">
        <f>配置表!$O230</f>
        <v>秋　特別展</v>
      </c>
      <c r="Z29" s="127" t="str">
        <f>配置表!$P230</f>
        <v>テーマ展</v>
      </c>
      <c r="AA29" s="133">
        <f>配置表!$G230</f>
        <v>0.70833333333333337</v>
      </c>
      <c r="AB29" s="18"/>
      <c r="AC29" s="124">
        <f>配置表!$M296</f>
        <v>46017</v>
      </c>
      <c r="AD29" s="125" t="str">
        <f>配置表!$N296</f>
        <v>金</v>
      </c>
      <c r="AE29" s="125" t="str">
        <f>配置表!$L296</f>
        <v/>
      </c>
      <c r="AF29" s="126" t="str">
        <f>配置表!$O296</f>
        <v>冬　特別展</v>
      </c>
      <c r="AG29" s="127" t="str">
        <f>配置表!$P296</f>
        <v>テーマ展</v>
      </c>
      <c r="AH29" s="133">
        <f>配置表!$G296</f>
        <v>0.70833333333333337</v>
      </c>
      <c r="AI29" s="18"/>
      <c r="AJ29" s="124">
        <f>配置表!$M362</f>
        <v>46079</v>
      </c>
      <c r="AK29" s="125" t="str">
        <f>配置表!$N362</f>
        <v>木</v>
      </c>
      <c r="AL29" s="125" t="str">
        <f>配置表!$L362</f>
        <v>閉</v>
      </c>
      <c r="AM29" s="126" t="str">
        <f>配置表!$O362</f>
        <v/>
      </c>
      <c r="AN29" s="127" t="str">
        <f>配置表!$P362</f>
        <v/>
      </c>
      <c r="AO29" s="133">
        <f>配置表!$G362</f>
        <v>0.70833333333333337</v>
      </c>
      <c r="AP29" s="18"/>
    </row>
    <row r="30" spans="1:42">
      <c r="A30" s="124">
        <f>配置表!M33</f>
        <v>45774</v>
      </c>
      <c r="B30" s="125" t="str">
        <f>配置表!N33</f>
        <v>日</v>
      </c>
      <c r="C30" s="125" t="str">
        <f>配置表!L33</f>
        <v/>
      </c>
      <c r="D30" s="126" t="str">
        <f>配置表!O33</f>
        <v>春　特別展</v>
      </c>
      <c r="E30" s="127" t="str">
        <f>配置表!P33</f>
        <v>テーマ展</v>
      </c>
      <c r="F30" s="133">
        <f>配置表!G33</f>
        <v>0.70833333333333337</v>
      </c>
      <c r="G30" s="18"/>
      <c r="H30" s="124">
        <f>配置表!$M99</f>
        <v>45835</v>
      </c>
      <c r="I30" s="125" t="str">
        <f>配置表!$N99</f>
        <v>金</v>
      </c>
      <c r="J30" s="125" t="str">
        <f>配置表!$L99</f>
        <v/>
      </c>
      <c r="K30" s="126" t="str">
        <f>配置表!$O99</f>
        <v>夏　特別展</v>
      </c>
      <c r="L30" s="127" t="str">
        <f>配置表!$P99</f>
        <v>テーマ展</v>
      </c>
      <c r="M30" s="133">
        <f>配置表!$G99</f>
        <v>0.70833333333333337</v>
      </c>
      <c r="N30" s="18"/>
      <c r="O30" s="124">
        <f>配置表!$M165</f>
        <v>45896</v>
      </c>
      <c r="P30" s="125" t="str">
        <f>配置表!$N165</f>
        <v>水</v>
      </c>
      <c r="Q30" s="125" t="str">
        <f>配置表!$L165</f>
        <v/>
      </c>
      <c r="R30" s="126" t="str">
        <f>配置表!$O165</f>
        <v/>
      </c>
      <c r="S30" s="127" t="str">
        <f>配置表!$P165</f>
        <v>テーマ展</v>
      </c>
      <c r="T30" s="133">
        <f>配置表!$G165</f>
        <v>0.70833333333333337</v>
      </c>
      <c r="U30" s="18"/>
      <c r="V30" s="124">
        <f>配置表!$M231</f>
        <v>45957</v>
      </c>
      <c r="W30" s="125" t="str">
        <f>配置表!$N231</f>
        <v>月</v>
      </c>
      <c r="X30" s="125" t="str">
        <f>配置表!$L231</f>
        <v>閉</v>
      </c>
      <c r="Y30" s="126" t="str">
        <f>配置表!$O231</f>
        <v>秋　特別展</v>
      </c>
      <c r="Z30" s="127" t="str">
        <f>配置表!$P231</f>
        <v>テーマ展</v>
      </c>
      <c r="AA30" s="133">
        <f>配置表!$G231</f>
        <v>0.70833333333333337</v>
      </c>
      <c r="AB30" s="18"/>
      <c r="AC30" s="124">
        <f>配置表!$M297</f>
        <v>46018</v>
      </c>
      <c r="AD30" s="125" t="str">
        <f>配置表!$N297</f>
        <v>土</v>
      </c>
      <c r="AE30" s="125" t="str">
        <f>配置表!$L297</f>
        <v/>
      </c>
      <c r="AF30" s="126" t="str">
        <f>配置表!$O297</f>
        <v>冬　特別展</v>
      </c>
      <c r="AG30" s="127" t="str">
        <f>配置表!$P297</f>
        <v>テーマ展</v>
      </c>
      <c r="AH30" s="133">
        <f>配置表!$G297</f>
        <v>0.70833333333333337</v>
      </c>
      <c r="AI30" s="18"/>
      <c r="AJ30" s="124">
        <f>配置表!$M363</f>
        <v>46080</v>
      </c>
      <c r="AK30" s="125" t="str">
        <f>配置表!$N363</f>
        <v>金</v>
      </c>
      <c r="AL30" s="125" t="str">
        <f>配置表!$L363</f>
        <v>閉</v>
      </c>
      <c r="AM30" s="126" t="str">
        <f>配置表!$O363</f>
        <v/>
      </c>
      <c r="AN30" s="127" t="str">
        <f>配置表!$P363</f>
        <v/>
      </c>
      <c r="AO30" s="133">
        <f>配置表!$G363</f>
        <v>0.70833333333333337</v>
      </c>
      <c r="AP30" s="18"/>
    </row>
    <row r="31" spans="1:42">
      <c r="A31" s="124">
        <f>配置表!M34</f>
        <v>45775</v>
      </c>
      <c r="B31" s="125" t="str">
        <f>配置表!N34</f>
        <v>月</v>
      </c>
      <c r="C31" s="125" t="str">
        <f>配置表!L34</f>
        <v>閉</v>
      </c>
      <c r="D31" s="126" t="str">
        <f>配置表!O34</f>
        <v>春　特別展</v>
      </c>
      <c r="E31" s="127" t="str">
        <f>配置表!P34</f>
        <v>テーマ展</v>
      </c>
      <c r="F31" s="133">
        <f>配置表!G34</f>
        <v>0.70833333333333337</v>
      </c>
      <c r="G31" s="18"/>
      <c r="H31" s="124">
        <f>配置表!$M100</f>
        <v>45836</v>
      </c>
      <c r="I31" s="125" t="str">
        <f>配置表!$N100</f>
        <v>土</v>
      </c>
      <c r="J31" s="125" t="str">
        <f>配置表!$L100</f>
        <v/>
      </c>
      <c r="K31" s="126" t="str">
        <f>配置表!$O100</f>
        <v>夏　特別展</v>
      </c>
      <c r="L31" s="127" t="str">
        <f>配置表!$P100</f>
        <v>テーマ展</v>
      </c>
      <c r="M31" s="133">
        <f>配置表!$G100</f>
        <v>0.70833333333333337</v>
      </c>
      <c r="N31" s="18"/>
      <c r="O31" s="124">
        <f>配置表!$M166</f>
        <v>45897</v>
      </c>
      <c r="P31" s="125" t="str">
        <f>配置表!$N166</f>
        <v>木</v>
      </c>
      <c r="Q31" s="125" t="str">
        <f>配置表!$L166</f>
        <v/>
      </c>
      <c r="R31" s="126" t="str">
        <f>配置表!$O166</f>
        <v/>
      </c>
      <c r="S31" s="127" t="str">
        <f>配置表!$P166</f>
        <v>テーマ展</v>
      </c>
      <c r="T31" s="133">
        <f>配置表!$G166</f>
        <v>0.70833333333333337</v>
      </c>
      <c r="U31" s="18"/>
      <c r="V31" s="124">
        <f>配置表!$M232</f>
        <v>45958</v>
      </c>
      <c r="W31" s="125" t="str">
        <f>配置表!$N232</f>
        <v>火</v>
      </c>
      <c r="X31" s="125" t="str">
        <f>配置表!$L232</f>
        <v/>
      </c>
      <c r="Y31" s="126" t="str">
        <f>配置表!$O232</f>
        <v>秋　特別展</v>
      </c>
      <c r="Z31" s="127" t="str">
        <f>配置表!$P232</f>
        <v>テーマ展</v>
      </c>
      <c r="AA31" s="133">
        <f>配置表!$G232</f>
        <v>0.70833333333333337</v>
      </c>
      <c r="AB31" s="18"/>
      <c r="AC31" s="124">
        <f>配置表!$M298</f>
        <v>46019</v>
      </c>
      <c r="AD31" s="125" t="str">
        <f>配置表!$N298</f>
        <v>日</v>
      </c>
      <c r="AE31" s="125" t="str">
        <f>配置表!$L298</f>
        <v/>
      </c>
      <c r="AF31" s="126" t="str">
        <f>配置表!$O298</f>
        <v>冬　特別展</v>
      </c>
      <c r="AG31" s="127" t="str">
        <f>配置表!$P298</f>
        <v>テーマ展</v>
      </c>
      <c r="AH31" s="133">
        <f>配置表!$G298</f>
        <v>0.70833333333333337</v>
      </c>
      <c r="AI31" s="18"/>
      <c r="AJ31" s="124">
        <f>配置表!$M364</f>
        <v>46081</v>
      </c>
      <c r="AK31" s="125" t="str">
        <f>配置表!$N364</f>
        <v>土</v>
      </c>
      <c r="AL31" s="125" t="str">
        <f>配置表!$L364</f>
        <v>閉</v>
      </c>
      <c r="AM31" s="126" t="str">
        <f>配置表!$O364</f>
        <v/>
      </c>
      <c r="AN31" s="127" t="str">
        <f>配置表!$P364</f>
        <v/>
      </c>
      <c r="AO31" s="133">
        <f>配置表!$G364</f>
        <v>0.70833333333333337</v>
      </c>
      <c r="AP31" s="18"/>
    </row>
    <row r="32" spans="1:42">
      <c r="A32" s="124">
        <f>配置表!M35</f>
        <v>45776</v>
      </c>
      <c r="B32" s="125" t="str">
        <f>配置表!N35</f>
        <v>火</v>
      </c>
      <c r="C32" s="125" t="str">
        <f>配置表!L35</f>
        <v/>
      </c>
      <c r="D32" s="126" t="str">
        <f>配置表!O35</f>
        <v>春　特別展</v>
      </c>
      <c r="E32" s="127" t="str">
        <f>配置表!P35</f>
        <v>テーマ展</v>
      </c>
      <c r="F32" s="133">
        <f>配置表!G35</f>
        <v>0.70833333333333337</v>
      </c>
      <c r="G32" s="18"/>
      <c r="H32" s="124">
        <f>配置表!$M101</f>
        <v>45837</v>
      </c>
      <c r="I32" s="125" t="str">
        <f>配置表!$N101</f>
        <v>日</v>
      </c>
      <c r="J32" s="125" t="str">
        <f>配置表!$L101</f>
        <v/>
      </c>
      <c r="K32" s="126" t="str">
        <f>配置表!$O101</f>
        <v>夏　特別展</v>
      </c>
      <c r="L32" s="127" t="str">
        <f>配置表!$P101</f>
        <v>テーマ展</v>
      </c>
      <c r="M32" s="133">
        <f>配置表!$G101</f>
        <v>0.70833333333333337</v>
      </c>
      <c r="N32" s="18"/>
      <c r="O32" s="124">
        <f>配置表!$M167</f>
        <v>45898</v>
      </c>
      <c r="P32" s="125" t="str">
        <f>配置表!$N167</f>
        <v>金</v>
      </c>
      <c r="Q32" s="125" t="str">
        <f>配置表!$L167</f>
        <v/>
      </c>
      <c r="R32" s="126" t="str">
        <f>配置表!$O167</f>
        <v/>
      </c>
      <c r="S32" s="127" t="str">
        <f>配置表!$P167</f>
        <v>テーマ展</v>
      </c>
      <c r="T32" s="133">
        <f>配置表!$G167</f>
        <v>0.70833333333333337</v>
      </c>
      <c r="U32" s="18"/>
      <c r="V32" s="124">
        <f>配置表!$M233</f>
        <v>45959</v>
      </c>
      <c r="W32" s="125" t="str">
        <f>配置表!$N233</f>
        <v>水</v>
      </c>
      <c r="X32" s="125" t="str">
        <f>配置表!$L233</f>
        <v/>
      </c>
      <c r="Y32" s="126" t="str">
        <f>配置表!$O233</f>
        <v>秋　特別展</v>
      </c>
      <c r="Z32" s="127" t="str">
        <f>配置表!$P233</f>
        <v>テーマ展</v>
      </c>
      <c r="AA32" s="133">
        <f>配置表!$G233</f>
        <v>0.70833333333333337</v>
      </c>
      <c r="AB32" s="18"/>
      <c r="AC32" s="124">
        <f>配置表!$M299</f>
        <v>46020</v>
      </c>
      <c r="AD32" s="125" t="str">
        <f>配置表!$N299</f>
        <v>月</v>
      </c>
      <c r="AE32" s="125" t="str">
        <f>配置表!$L299</f>
        <v>閉</v>
      </c>
      <c r="AF32" s="126" t="str">
        <f>配置表!$O299</f>
        <v>冬　特別展</v>
      </c>
      <c r="AG32" s="127" t="str">
        <f>配置表!$P299</f>
        <v>テーマ展</v>
      </c>
      <c r="AH32" s="133">
        <f>配置表!$G299</f>
        <v>0.70833333333333337</v>
      </c>
      <c r="AI32" s="18"/>
      <c r="AJ32" s="124"/>
      <c r="AK32" s="125"/>
      <c r="AL32" s="125"/>
      <c r="AM32" s="126"/>
      <c r="AN32" s="127"/>
      <c r="AO32" s="133"/>
      <c r="AP32" s="18"/>
    </row>
    <row r="33" spans="1:42">
      <c r="A33" s="124">
        <f>配置表!M36</f>
        <v>45777</v>
      </c>
      <c r="B33" s="125" t="str">
        <f>配置表!N36</f>
        <v>水</v>
      </c>
      <c r="C33" s="125" t="str">
        <f>配置表!L36</f>
        <v/>
      </c>
      <c r="D33" s="126" t="str">
        <f>配置表!O36</f>
        <v>春　特別展</v>
      </c>
      <c r="E33" s="127" t="str">
        <f>配置表!P36</f>
        <v>テーマ展</v>
      </c>
      <c r="F33" s="133">
        <f>配置表!G36</f>
        <v>0.70833333333333337</v>
      </c>
      <c r="G33" s="18"/>
      <c r="H33" s="124">
        <f>配置表!$M102</f>
        <v>45838</v>
      </c>
      <c r="I33" s="125" t="str">
        <f>配置表!$N102</f>
        <v>月</v>
      </c>
      <c r="J33" s="125" t="str">
        <f>配置表!$L102</f>
        <v>閉</v>
      </c>
      <c r="K33" s="126" t="str">
        <f>配置表!$O102</f>
        <v>夏　特別展</v>
      </c>
      <c r="L33" s="127" t="str">
        <f>配置表!$P102</f>
        <v>テーマ展</v>
      </c>
      <c r="M33" s="133">
        <f>配置表!$G102</f>
        <v>0.70833333333333337</v>
      </c>
      <c r="N33" s="18"/>
      <c r="O33" s="124">
        <f>配置表!$M168</f>
        <v>45899</v>
      </c>
      <c r="P33" s="125" t="str">
        <f>配置表!$N168</f>
        <v>土</v>
      </c>
      <c r="Q33" s="125" t="str">
        <f>配置表!$L168</f>
        <v/>
      </c>
      <c r="R33" s="126" t="str">
        <f>配置表!$O168</f>
        <v/>
      </c>
      <c r="S33" s="127" t="str">
        <f>配置表!$P168</f>
        <v>テーマ展</v>
      </c>
      <c r="T33" s="133">
        <f>配置表!$G168</f>
        <v>0.70833333333333337</v>
      </c>
      <c r="U33" s="18"/>
      <c r="V33" s="124">
        <f>配置表!$M234</f>
        <v>45960</v>
      </c>
      <c r="W33" s="125" t="str">
        <f>配置表!$N234</f>
        <v>木</v>
      </c>
      <c r="X33" s="125" t="str">
        <f>配置表!$L234</f>
        <v/>
      </c>
      <c r="Y33" s="126" t="str">
        <f>配置表!$O234</f>
        <v>秋　特別展</v>
      </c>
      <c r="Z33" s="127" t="str">
        <f>配置表!$P234</f>
        <v>テーマ展</v>
      </c>
      <c r="AA33" s="133">
        <f>配置表!$G234</f>
        <v>0.70833333333333337</v>
      </c>
      <c r="AB33" s="18"/>
      <c r="AC33" s="124">
        <f>配置表!$M300</f>
        <v>46021</v>
      </c>
      <c r="AD33" s="125" t="str">
        <f>配置表!$N300</f>
        <v>火</v>
      </c>
      <c r="AE33" s="125" t="str">
        <f>配置表!$L300</f>
        <v/>
      </c>
      <c r="AF33" s="126" t="str">
        <f>配置表!$O300</f>
        <v>冬　特別展</v>
      </c>
      <c r="AG33" s="127" t="str">
        <f>配置表!$P300</f>
        <v>テーマ展</v>
      </c>
      <c r="AH33" s="133">
        <f>配置表!$G300</f>
        <v>0.70833333333333337</v>
      </c>
      <c r="AI33" s="18"/>
      <c r="AJ33" s="124">
        <f>IF(配置表!$M368="","",配置表!$M368)</f>
        <v>46082</v>
      </c>
      <c r="AK33" s="125" t="str">
        <f>IF(配置表!$N368="","",配置表!$N368)</f>
        <v>日</v>
      </c>
      <c r="AL33" s="125" t="str">
        <f>IF(配置表!$L368="","",配置表!$L368)</f>
        <v>閉</v>
      </c>
      <c r="AM33" s="126" t="str">
        <f>IF(配置表!$O368="","",配置表!$O368)</f>
        <v/>
      </c>
      <c r="AN33" s="127" t="str">
        <f>IF(配置表!$P368="","",配置表!$P368)</f>
        <v/>
      </c>
      <c r="AO33" s="133">
        <f>IF(配置表!$G368="","",配置表!$G368)</f>
        <v>0.70833333333333337</v>
      </c>
      <c r="AP33" s="18"/>
    </row>
    <row r="34" spans="1:42">
      <c r="A34" s="124"/>
      <c r="B34" s="125"/>
      <c r="C34" s="125"/>
      <c r="D34" s="126"/>
      <c r="E34" s="127"/>
      <c r="F34" s="133"/>
      <c r="G34" s="18"/>
      <c r="H34" s="124"/>
      <c r="I34" s="125"/>
      <c r="J34" s="125"/>
      <c r="K34" s="126"/>
      <c r="L34" s="127"/>
      <c r="M34" s="133"/>
      <c r="N34" s="18"/>
      <c r="O34" s="124">
        <f>配置表!$M169</f>
        <v>45900</v>
      </c>
      <c r="P34" s="125" t="str">
        <f>配置表!$N169</f>
        <v>日</v>
      </c>
      <c r="Q34" s="125" t="str">
        <f>配置表!$L169</f>
        <v/>
      </c>
      <c r="R34" s="126" t="str">
        <f>配置表!$O169</f>
        <v/>
      </c>
      <c r="S34" s="127" t="str">
        <f>配置表!$P169</f>
        <v>テーマ展</v>
      </c>
      <c r="T34" s="133">
        <f>配置表!$G169</f>
        <v>0.70833333333333337</v>
      </c>
      <c r="U34" s="18"/>
      <c r="V34" s="124">
        <f>配置表!$M235</f>
        <v>45961</v>
      </c>
      <c r="W34" s="125" t="str">
        <f>配置表!$N235</f>
        <v>金</v>
      </c>
      <c r="X34" s="125" t="str">
        <f>配置表!$L235</f>
        <v/>
      </c>
      <c r="Y34" s="126" t="str">
        <f>配置表!$O235</f>
        <v>秋　特別展</v>
      </c>
      <c r="Z34" s="127" t="str">
        <f>配置表!$P235</f>
        <v>テーマ展</v>
      </c>
      <c r="AA34" s="133">
        <f>配置表!$G235</f>
        <v>0.70833333333333337</v>
      </c>
      <c r="AB34" s="18"/>
      <c r="AC34" s="124">
        <f>配置表!$M301</f>
        <v>46022</v>
      </c>
      <c r="AD34" s="125" t="str">
        <f>配置表!$N301</f>
        <v>水</v>
      </c>
      <c r="AE34" s="125" t="str">
        <f>配置表!$L301</f>
        <v>閉</v>
      </c>
      <c r="AF34" s="126" t="str">
        <f>配置表!$O301</f>
        <v>冬　特別展</v>
      </c>
      <c r="AG34" s="127" t="str">
        <f>配置表!$P301</f>
        <v>テーマ展</v>
      </c>
      <c r="AH34" s="133">
        <f>配置表!$G301</f>
        <v>0.70833333333333337</v>
      </c>
      <c r="AI34" s="18"/>
      <c r="AJ34" s="124">
        <f>配置表!$M369</f>
        <v>46083</v>
      </c>
      <c r="AK34" s="125" t="str">
        <f>配置表!$N369</f>
        <v>月</v>
      </c>
      <c r="AL34" s="125" t="str">
        <f>配置表!$L369</f>
        <v>閉</v>
      </c>
      <c r="AM34" s="126" t="str">
        <f>配置表!$O369</f>
        <v/>
      </c>
      <c r="AN34" s="127" t="str">
        <f>配置表!$P369</f>
        <v/>
      </c>
      <c r="AO34" s="133">
        <f>配置表!$G369</f>
        <v>0.70833333333333337</v>
      </c>
      <c r="AP34" s="18"/>
    </row>
    <row r="35" spans="1:42">
      <c r="A35" s="124">
        <f>配置表!M40</f>
        <v>45778</v>
      </c>
      <c r="B35" s="125" t="str">
        <f>配置表!N40</f>
        <v>木</v>
      </c>
      <c r="C35" s="125" t="str">
        <f>配置表!L40</f>
        <v/>
      </c>
      <c r="D35" s="126" t="str">
        <f>配置表!O40</f>
        <v>春　特別展</v>
      </c>
      <c r="E35" s="127" t="str">
        <f>配置表!P40</f>
        <v>テーマ展</v>
      </c>
      <c r="F35" s="133">
        <f>配置表!G40</f>
        <v>0.70833333333333337</v>
      </c>
      <c r="G35" s="18"/>
      <c r="H35" s="124">
        <f>配置表!$M106</f>
        <v>45839</v>
      </c>
      <c r="I35" s="125" t="str">
        <f>配置表!$N106</f>
        <v>火</v>
      </c>
      <c r="J35" s="125" t="str">
        <f>配置表!$L106</f>
        <v/>
      </c>
      <c r="K35" s="126" t="str">
        <f>配置表!$O106</f>
        <v>夏　特別展</v>
      </c>
      <c r="L35" s="127" t="str">
        <f>配置表!$P106</f>
        <v>テーマ展</v>
      </c>
      <c r="M35" s="133">
        <f>配置表!$G106</f>
        <v>0.70833333333333337</v>
      </c>
      <c r="N35" s="18"/>
      <c r="O35" s="124"/>
      <c r="P35" s="125"/>
      <c r="Q35" s="125"/>
      <c r="R35" s="126"/>
      <c r="S35" s="127"/>
      <c r="T35" s="133"/>
      <c r="U35" s="18"/>
      <c r="V35" s="124"/>
      <c r="W35" s="125"/>
      <c r="X35" s="125"/>
      <c r="Y35" s="126"/>
      <c r="Z35" s="127"/>
      <c r="AA35" s="133"/>
      <c r="AB35" s="18"/>
      <c r="AC35" s="124"/>
      <c r="AD35" s="125"/>
      <c r="AE35" s="125"/>
      <c r="AF35" s="126"/>
      <c r="AG35" s="127"/>
      <c r="AH35" s="133"/>
      <c r="AI35" s="18"/>
      <c r="AJ35" s="124">
        <f>配置表!$M370</f>
        <v>46084</v>
      </c>
      <c r="AK35" s="125" t="str">
        <f>配置表!$N370</f>
        <v>火</v>
      </c>
      <c r="AL35" s="125" t="str">
        <f>配置表!$L370</f>
        <v>閉</v>
      </c>
      <c r="AM35" s="126" t="str">
        <f>配置表!$O370</f>
        <v/>
      </c>
      <c r="AN35" s="127" t="str">
        <f>配置表!$P370</f>
        <v/>
      </c>
      <c r="AO35" s="133">
        <f>配置表!$G370</f>
        <v>0.70833333333333337</v>
      </c>
      <c r="AP35" s="18"/>
    </row>
    <row r="36" spans="1:42">
      <c r="A36" s="124">
        <f>配置表!M41</f>
        <v>45779</v>
      </c>
      <c r="B36" s="125" t="str">
        <f>配置表!N41</f>
        <v>金</v>
      </c>
      <c r="C36" s="125" t="str">
        <f>配置表!L41</f>
        <v/>
      </c>
      <c r="D36" s="126" t="str">
        <f>配置表!O41</f>
        <v>春　特別展</v>
      </c>
      <c r="E36" s="127" t="str">
        <f>配置表!P41</f>
        <v>テーマ展</v>
      </c>
      <c r="F36" s="133">
        <f>配置表!G41</f>
        <v>0.70833333333333337</v>
      </c>
      <c r="G36" s="18"/>
      <c r="H36" s="124">
        <f>配置表!$M107</f>
        <v>45840</v>
      </c>
      <c r="I36" s="125" t="str">
        <f>配置表!$N107</f>
        <v>水</v>
      </c>
      <c r="J36" s="125" t="str">
        <f>配置表!$L107</f>
        <v/>
      </c>
      <c r="K36" s="126" t="str">
        <f>配置表!$O107</f>
        <v>夏　特別展</v>
      </c>
      <c r="L36" s="127" t="str">
        <f>配置表!$P107</f>
        <v>テーマ展</v>
      </c>
      <c r="M36" s="133">
        <f>配置表!$G107</f>
        <v>0.70833333333333337</v>
      </c>
      <c r="N36" s="18"/>
      <c r="O36" s="124">
        <f>配置表!$M172</f>
        <v>45901</v>
      </c>
      <c r="P36" s="125" t="str">
        <f>配置表!$N172</f>
        <v>月</v>
      </c>
      <c r="Q36" s="125" t="str">
        <f>配置表!$L172</f>
        <v>閉</v>
      </c>
      <c r="R36" s="126" t="str">
        <f>配置表!$O172</f>
        <v/>
      </c>
      <c r="S36" s="127" t="str">
        <f>配置表!$P172</f>
        <v>テーマ展</v>
      </c>
      <c r="T36" s="133">
        <f>配置表!$G172</f>
        <v>0.70833333333333337</v>
      </c>
      <c r="U36" s="18"/>
      <c r="V36" s="124">
        <f>配置表!$M238</f>
        <v>45962</v>
      </c>
      <c r="W36" s="125" t="str">
        <f>配置表!$N238</f>
        <v>土</v>
      </c>
      <c r="X36" s="125" t="str">
        <f>配置表!$L238</f>
        <v/>
      </c>
      <c r="Y36" s="126" t="str">
        <f>配置表!$O238</f>
        <v>秋　特別展</v>
      </c>
      <c r="Z36" s="127" t="str">
        <f>配置表!$P238</f>
        <v>テーマ展</v>
      </c>
      <c r="AA36" s="133">
        <f>配置表!$G238</f>
        <v>0.70833333333333337</v>
      </c>
      <c r="AB36" s="18"/>
      <c r="AC36" s="124">
        <f>配置表!$M304</f>
        <v>46023</v>
      </c>
      <c r="AD36" s="125" t="str">
        <f>配置表!$N304</f>
        <v>木</v>
      </c>
      <c r="AE36" s="125" t="str">
        <f>配置表!$L304</f>
        <v>閉</v>
      </c>
      <c r="AF36" s="126" t="str">
        <f>配置表!$O304</f>
        <v>冬　特別展</v>
      </c>
      <c r="AG36" s="127" t="str">
        <f>配置表!$P304</f>
        <v>テーマ展</v>
      </c>
      <c r="AH36" s="133">
        <f>配置表!$G304</f>
        <v>0.70833333333333337</v>
      </c>
      <c r="AI36" s="18"/>
      <c r="AJ36" s="124">
        <f>配置表!$M371</f>
        <v>46085</v>
      </c>
      <c r="AK36" s="125" t="str">
        <f>配置表!$N371</f>
        <v>水</v>
      </c>
      <c r="AL36" s="125" t="str">
        <f>配置表!$L371</f>
        <v>閉</v>
      </c>
      <c r="AM36" s="126" t="str">
        <f>配置表!$O371</f>
        <v/>
      </c>
      <c r="AN36" s="127" t="str">
        <f>配置表!$P371</f>
        <v/>
      </c>
      <c r="AO36" s="133">
        <f>配置表!$G371</f>
        <v>0.70833333333333337</v>
      </c>
      <c r="AP36" s="18"/>
    </row>
    <row r="37" spans="1:42">
      <c r="A37" s="124">
        <f>配置表!M42</f>
        <v>45780</v>
      </c>
      <c r="B37" s="125" t="str">
        <f>配置表!N42</f>
        <v>土</v>
      </c>
      <c r="C37" s="125" t="str">
        <f>配置表!L42</f>
        <v/>
      </c>
      <c r="D37" s="126" t="str">
        <f>配置表!O42</f>
        <v>春　特別展</v>
      </c>
      <c r="E37" s="127" t="str">
        <f>配置表!P42</f>
        <v>テーマ展</v>
      </c>
      <c r="F37" s="133">
        <f>配置表!G42</f>
        <v>0.70833333333333337</v>
      </c>
      <c r="G37" s="18"/>
      <c r="H37" s="124">
        <f>配置表!$M108</f>
        <v>45841</v>
      </c>
      <c r="I37" s="125" t="str">
        <f>配置表!$N108</f>
        <v>木</v>
      </c>
      <c r="J37" s="125" t="str">
        <f>配置表!$L108</f>
        <v/>
      </c>
      <c r="K37" s="126" t="str">
        <f>配置表!$O108</f>
        <v>夏　特別展</v>
      </c>
      <c r="L37" s="127" t="str">
        <f>配置表!$P108</f>
        <v>テーマ展</v>
      </c>
      <c r="M37" s="133">
        <f>配置表!$G108</f>
        <v>0.70833333333333337</v>
      </c>
      <c r="N37" s="18"/>
      <c r="O37" s="124">
        <f>配置表!$M173</f>
        <v>45902</v>
      </c>
      <c r="P37" s="125" t="str">
        <f>配置表!$N173</f>
        <v>火</v>
      </c>
      <c r="Q37" s="125" t="str">
        <f>配置表!$L173</f>
        <v/>
      </c>
      <c r="R37" s="126" t="str">
        <f>配置表!$O173</f>
        <v/>
      </c>
      <c r="S37" s="127" t="str">
        <f>配置表!$P173</f>
        <v>テーマ展</v>
      </c>
      <c r="T37" s="133">
        <f>配置表!$G173</f>
        <v>0.70833333333333337</v>
      </c>
      <c r="U37" s="18"/>
      <c r="V37" s="124">
        <f>配置表!$M239</f>
        <v>45963</v>
      </c>
      <c r="W37" s="125" t="str">
        <f>配置表!$N239</f>
        <v>日</v>
      </c>
      <c r="X37" s="125" t="str">
        <f>配置表!$L239</f>
        <v/>
      </c>
      <c r="Y37" s="126" t="str">
        <f>配置表!$O239</f>
        <v>秋　特別展</v>
      </c>
      <c r="Z37" s="127" t="str">
        <f>配置表!$P239</f>
        <v>テーマ展</v>
      </c>
      <c r="AA37" s="133">
        <f>配置表!$G239</f>
        <v>0.70833333333333337</v>
      </c>
      <c r="AB37" s="18"/>
      <c r="AC37" s="124">
        <f>配置表!$M305</f>
        <v>46024</v>
      </c>
      <c r="AD37" s="125" t="str">
        <f>配置表!$N305</f>
        <v>金</v>
      </c>
      <c r="AE37" s="125" t="str">
        <f>配置表!$L305</f>
        <v/>
      </c>
      <c r="AF37" s="126" t="str">
        <f>配置表!$O305</f>
        <v>冬　特別展</v>
      </c>
      <c r="AG37" s="127" t="str">
        <f>配置表!$P305</f>
        <v>テーマ展</v>
      </c>
      <c r="AH37" s="133">
        <f>配置表!$G305</f>
        <v>0.70833333333333337</v>
      </c>
      <c r="AI37" s="18"/>
      <c r="AJ37" s="124">
        <f>配置表!$M372</f>
        <v>46086</v>
      </c>
      <c r="AK37" s="125" t="str">
        <f>配置表!$N372</f>
        <v>木</v>
      </c>
      <c r="AL37" s="125" t="str">
        <f>配置表!$L372</f>
        <v>閉</v>
      </c>
      <c r="AM37" s="126" t="str">
        <f>配置表!$O372</f>
        <v/>
      </c>
      <c r="AN37" s="127" t="str">
        <f>配置表!$P372</f>
        <v/>
      </c>
      <c r="AO37" s="133">
        <f>配置表!$G372</f>
        <v>0.70833333333333337</v>
      </c>
      <c r="AP37" s="18"/>
    </row>
    <row r="38" spans="1:42">
      <c r="A38" s="124">
        <f>配置表!M43</f>
        <v>45781</v>
      </c>
      <c r="B38" s="125" t="str">
        <f>配置表!N43</f>
        <v>日</v>
      </c>
      <c r="C38" s="125" t="str">
        <f>配置表!L43</f>
        <v/>
      </c>
      <c r="D38" s="126" t="str">
        <f>配置表!O43</f>
        <v>春　特別展</v>
      </c>
      <c r="E38" s="127" t="str">
        <f>配置表!P43</f>
        <v>テーマ展</v>
      </c>
      <c r="F38" s="133">
        <f>配置表!G43</f>
        <v>0.70833333333333337</v>
      </c>
      <c r="G38" s="18"/>
      <c r="H38" s="124">
        <f>配置表!$M109</f>
        <v>45842</v>
      </c>
      <c r="I38" s="125" t="str">
        <f>配置表!$N109</f>
        <v>金</v>
      </c>
      <c r="J38" s="125" t="str">
        <f>配置表!$L109</f>
        <v/>
      </c>
      <c r="K38" s="126" t="str">
        <f>配置表!$O109</f>
        <v>夏　特別展</v>
      </c>
      <c r="L38" s="127" t="str">
        <f>配置表!$P109</f>
        <v>テーマ展</v>
      </c>
      <c r="M38" s="133">
        <f>配置表!$G109</f>
        <v>0.70833333333333337</v>
      </c>
      <c r="N38" s="18"/>
      <c r="O38" s="124">
        <f>配置表!$M174</f>
        <v>45903</v>
      </c>
      <c r="P38" s="125" t="str">
        <f>配置表!$N174</f>
        <v>水</v>
      </c>
      <c r="Q38" s="125" t="str">
        <f>配置表!$L174</f>
        <v/>
      </c>
      <c r="R38" s="126" t="str">
        <f>配置表!$O174</f>
        <v/>
      </c>
      <c r="S38" s="127" t="str">
        <f>配置表!$P174</f>
        <v>テーマ展</v>
      </c>
      <c r="T38" s="133">
        <f>配置表!$G174</f>
        <v>0.70833333333333337</v>
      </c>
      <c r="U38" s="18"/>
      <c r="V38" s="124">
        <f>配置表!$M240</f>
        <v>45964</v>
      </c>
      <c r="W38" s="125" t="str">
        <f>配置表!$N240</f>
        <v>月</v>
      </c>
      <c r="X38" s="125" t="str">
        <f>配置表!$L240</f>
        <v/>
      </c>
      <c r="Y38" s="126" t="str">
        <f>配置表!$O240</f>
        <v>秋　特別展</v>
      </c>
      <c r="Z38" s="127" t="str">
        <f>配置表!$P240</f>
        <v>テーマ展</v>
      </c>
      <c r="AA38" s="133">
        <f>配置表!$G240</f>
        <v>0.70833333333333337</v>
      </c>
      <c r="AB38" s="18"/>
      <c r="AC38" s="124">
        <f>配置表!$M306</f>
        <v>46025</v>
      </c>
      <c r="AD38" s="125" t="str">
        <f>配置表!$N306</f>
        <v>土</v>
      </c>
      <c r="AE38" s="125" t="str">
        <f>配置表!$L306</f>
        <v/>
      </c>
      <c r="AF38" s="126" t="str">
        <f>配置表!$O306</f>
        <v>冬　特別展</v>
      </c>
      <c r="AG38" s="127" t="str">
        <f>配置表!$P306</f>
        <v>テーマ展</v>
      </c>
      <c r="AH38" s="133">
        <f>配置表!$G306</f>
        <v>0.70833333333333337</v>
      </c>
      <c r="AI38" s="18"/>
      <c r="AJ38" s="124">
        <f>配置表!$M373</f>
        <v>46087</v>
      </c>
      <c r="AK38" s="125" t="str">
        <f>配置表!$N373</f>
        <v>金</v>
      </c>
      <c r="AL38" s="125" t="str">
        <f>配置表!$L373</f>
        <v>閉</v>
      </c>
      <c r="AM38" s="126" t="str">
        <f>配置表!$O373</f>
        <v/>
      </c>
      <c r="AN38" s="127" t="str">
        <f>配置表!$P373</f>
        <v/>
      </c>
      <c r="AO38" s="133">
        <f>配置表!$G373</f>
        <v>0.70833333333333337</v>
      </c>
      <c r="AP38" s="18"/>
    </row>
    <row r="39" spans="1:42">
      <c r="A39" s="124">
        <f>配置表!M44</f>
        <v>45782</v>
      </c>
      <c r="B39" s="125" t="str">
        <f>配置表!N44</f>
        <v>月</v>
      </c>
      <c r="C39" s="125" t="str">
        <f>配置表!L44</f>
        <v/>
      </c>
      <c r="D39" s="126" t="str">
        <f>配置表!O44</f>
        <v>春　特別展</v>
      </c>
      <c r="E39" s="127" t="str">
        <f>配置表!P44</f>
        <v>テーマ展</v>
      </c>
      <c r="F39" s="133">
        <f>配置表!G44</f>
        <v>0.70833333333333337</v>
      </c>
      <c r="G39" s="18"/>
      <c r="H39" s="124">
        <f>配置表!$M110</f>
        <v>45843</v>
      </c>
      <c r="I39" s="125" t="str">
        <f>配置表!$N110</f>
        <v>土</v>
      </c>
      <c r="J39" s="125" t="str">
        <f>配置表!$L110</f>
        <v/>
      </c>
      <c r="K39" s="126" t="str">
        <f>配置表!$O110</f>
        <v>夏　特別展</v>
      </c>
      <c r="L39" s="127" t="str">
        <f>配置表!$P110</f>
        <v>テーマ展</v>
      </c>
      <c r="M39" s="133">
        <f>配置表!$G110</f>
        <v>0.70833333333333337</v>
      </c>
      <c r="N39" s="18"/>
      <c r="O39" s="124">
        <f>配置表!$M175</f>
        <v>45904</v>
      </c>
      <c r="P39" s="125" t="str">
        <f>配置表!$N175</f>
        <v>木</v>
      </c>
      <c r="Q39" s="125" t="str">
        <f>配置表!$L175</f>
        <v/>
      </c>
      <c r="R39" s="126" t="str">
        <f>配置表!$O175</f>
        <v/>
      </c>
      <c r="S39" s="127" t="str">
        <f>配置表!$P175</f>
        <v>テーマ展</v>
      </c>
      <c r="T39" s="133">
        <f>配置表!$G175</f>
        <v>0.70833333333333337</v>
      </c>
      <c r="U39" s="18"/>
      <c r="V39" s="124">
        <f>配置表!$M241</f>
        <v>45965</v>
      </c>
      <c r="W39" s="125" t="str">
        <f>配置表!$N241</f>
        <v>火</v>
      </c>
      <c r="X39" s="125" t="str">
        <f>配置表!$L241</f>
        <v>閉</v>
      </c>
      <c r="Y39" s="126" t="str">
        <f>配置表!$O241</f>
        <v>秋　特別展</v>
      </c>
      <c r="Z39" s="127" t="str">
        <f>配置表!$P241</f>
        <v>テーマ展</v>
      </c>
      <c r="AA39" s="133">
        <f>配置表!$G241</f>
        <v>0.70833333333333337</v>
      </c>
      <c r="AB39" s="18"/>
      <c r="AC39" s="124">
        <f>配置表!$M307</f>
        <v>46026</v>
      </c>
      <c r="AD39" s="125" t="str">
        <f>配置表!$N307</f>
        <v>日</v>
      </c>
      <c r="AE39" s="125" t="str">
        <f>配置表!$L307</f>
        <v/>
      </c>
      <c r="AF39" s="126" t="str">
        <f>配置表!$O307</f>
        <v>冬　特別展</v>
      </c>
      <c r="AG39" s="127" t="str">
        <f>配置表!$P307</f>
        <v>テーマ展</v>
      </c>
      <c r="AH39" s="133">
        <f>配置表!$G307</f>
        <v>0.70833333333333337</v>
      </c>
      <c r="AI39" s="18"/>
      <c r="AJ39" s="124">
        <f>配置表!$M374</f>
        <v>46088</v>
      </c>
      <c r="AK39" s="125" t="str">
        <f>配置表!$N374</f>
        <v>土</v>
      </c>
      <c r="AL39" s="125" t="str">
        <f>配置表!$L374</f>
        <v>閉</v>
      </c>
      <c r="AM39" s="126" t="str">
        <f>配置表!$O374</f>
        <v/>
      </c>
      <c r="AN39" s="127" t="str">
        <f>配置表!$P374</f>
        <v/>
      </c>
      <c r="AO39" s="133">
        <f>配置表!$G374</f>
        <v>0.70833333333333337</v>
      </c>
      <c r="AP39" s="18"/>
    </row>
    <row r="40" spans="1:42">
      <c r="A40" s="124">
        <f>配置表!M45</f>
        <v>45783</v>
      </c>
      <c r="B40" s="125" t="str">
        <f>配置表!N45</f>
        <v>火</v>
      </c>
      <c r="C40" s="125" t="str">
        <f>配置表!L45</f>
        <v/>
      </c>
      <c r="D40" s="126" t="str">
        <f>配置表!O45</f>
        <v>春　特別展</v>
      </c>
      <c r="E40" s="127" t="str">
        <f>配置表!P45</f>
        <v>テーマ展</v>
      </c>
      <c r="F40" s="133">
        <f>配置表!G45</f>
        <v>0.70833333333333337</v>
      </c>
      <c r="G40" s="18"/>
      <c r="H40" s="124">
        <f>配置表!$M111</f>
        <v>45844</v>
      </c>
      <c r="I40" s="125" t="str">
        <f>配置表!$N111</f>
        <v>日</v>
      </c>
      <c r="J40" s="125" t="str">
        <f>配置表!$L111</f>
        <v/>
      </c>
      <c r="K40" s="126" t="str">
        <f>配置表!$O111</f>
        <v>夏　特別展</v>
      </c>
      <c r="L40" s="127" t="str">
        <f>配置表!$P111</f>
        <v>テーマ展</v>
      </c>
      <c r="M40" s="133">
        <f>配置表!$G111</f>
        <v>0.70833333333333337</v>
      </c>
      <c r="N40" s="18"/>
      <c r="O40" s="124">
        <f>配置表!$M176</f>
        <v>45905</v>
      </c>
      <c r="P40" s="125" t="str">
        <f>配置表!$N176</f>
        <v>金</v>
      </c>
      <c r="Q40" s="125" t="str">
        <f>配置表!$L176</f>
        <v/>
      </c>
      <c r="R40" s="126" t="str">
        <f>配置表!$O176</f>
        <v/>
      </c>
      <c r="S40" s="127" t="str">
        <f>配置表!$P176</f>
        <v>テーマ展</v>
      </c>
      <c r="T40" s="133">
        <f>配置表!$G176</f>
        <v>0.70833333333333337</v>
      </c>
      <c r="U40" s="18"/>
      <c r="V40" s="124">
        <f>配置表!$M242</f>
        <v>45966</v>
      </c>
      <c r="W40" s="125" t="str">
        <f>配置表!$N242</f>
        <v>水</v>
      </c>
      <c r="X40" s="125" t="str">
        <f>配置表!$L242</f>
        <v/>
      </c>
      <c r="Y40" s="126" t="str">
        <f>配置表!$O242</f>
        <v>秋　特別展</v>
      </c>
      <c r="Z40" s="127" t="str">
        <f>配置表!$P242</f>
        <v>テーマ展</v>
      </c>
      <c r="AA40" s="133">
        <f>配置表!$G242</f>
        <v>0.70833333333333337</v>
      </c>
      <c r="AB40" s="18"/>
      <c r="AC40" s="124">
        <f>配置表!$M308</f>
        <v>46027</v>
      </c>
      <c r="AD40" s="125" t="str">
        <f>配置表!$N308</f>
        <v>月</v>
      </c>
      <c r="AE40" s="125" t="str">
        <f>配置表!$L308</f>
        <v>閉</v>
      </c>
      <c r="AF40" s="126" t="str">
        <f>配置表!$O308</f>
        <v>冬　特別展</v>
      </c>
      <c r="AG40" s="127" t="str">
        <f>配置表!$P308</f>
        <v>テーマ展</v>
      </c>
      <c r="AH40" s="133">
        <f>配置表!$G308</f>
        <v>0.70833333333333337</v>
      </c>
      <c r="AI40" s="18"/>
      <c r="AJ40" s="124">
        <f>配置表!$M375</f>
        <v>46089</v>
      </c>
      <c r="AK40" s="125" t="str">
        <f>配置表!$N375</f>
        <v>日</v>
      </c>
      <c r="AL40" s="125" t="str">
        <f>配置表!$L375</f>
        <v>閉</v>
      </c>
      <c r="AM40" s="126" t="str">
        <f>配置表!$O375</f>
        <v/>
      </c>
      <c r="AN40" s="127" t="str">
        <f>配置表!$P375</f>
        <v/>
      </c>
      <c r="AO40" s="133">
        <f>配置表!$G375</f>
        <v>0.70833333333333337</v>
      </c>
      <c r="AP40" s="18"/>
    </row>
    <row r="41" spans="1:42">
      <c r="A41" s="124">
        <f>配置表!M46</f>
        <v>45784</v>
      </c>
      <c r="B41" s="125" t="str">
        <f>配置表!N46</f>
        <v>水</v>
      </c>
      <c r="C41" s="125" t="str">
        <f>配置表!L46</f>
        <v>閉</v>
      </c>
      <c r="D41" s="126" t="str">
        <f>配置表!O46</f>
        <v>春　特別展</v>
      </c>
      <c r="E41" s="127" t="str">
        <f>配置表!P46</f>
        <v>テーマ展</v>
      </c>
      <c r="F41" s="133">
        <f>配置表!G46</f>
        <v>0.70833333333333337</v>
      </c>
      <c r="G41" s="18"/>
      <c r="H41" s="124">
        <f>配置表!$M112</f>
        <v>45845</v>
      </c>
      <c r="I41" s="125" t="str">
        <f>配置表!$N112</f>
        <v>月</v>
      </c>
      <c r="J41" s="125" t="str">
        <f>配置表!$L112</f>
        <v>閉</v>
      </c>
      <c r="K41" s="126" t="str">
        <f>配置表!$O112</f>
        <v>夏　特別展</v>
      </c>
      <c r="L41" s="127" t="str">
        <f>配置表!$P112</f>
        <v>テーマ展</v>
      </c>
      <c r="M41" s="133">
        <f>配置表!$G112</f>
        <v>0.70833333333333337</v>
      </c>
      <c r="N41" s="18"/>
      <c r="O41" s="124">
        <f>配置表!$M177</f>
        <v>45906</v>
      </c>
      <c r="P41" s="125" t="str">
        <f>配置表!$N177</f>
        <v>土</v>
      </c>
      <c r="Q41" s="125" t="str">
        <f>配置表!$L177</f>
        <v/>
      </c>
      <c r="R41" s="126" t="str">
        <f>配置表!$O177</f>
        <v>秋　特別展</v>
      </c>
      <c r="S41" s="127" t="str">
        <f>配置表!$P177</f>
        <v>テーマ展</v>
      </c>
      <c r="T41" s="133">
        <f>配置表!$G177</f>
        <v>0.70833333333333337</v>
      </c>
      <c r="U41" s="18"/>
      <c r="V41" s="124">
        <f>配置表!$M243</f>
        <v>45967</v>
      </c>
      <c r="W41" s="125" t="str">
        <f>配置表!$N243</f>
        <v>木</v>
      </c>
      <c r="X41" s="125" t="str">
        <f>配置表!$L243</f>
        <v/>
      </c>
      <c r="Y41" s="126" t="str">
        <f>配置表!$O243</f>
        <v>秋　特別展</v>
      </c>
      <c r="Z41" s="127" t="str">
        <f>配置表!$P243</f>
        <v>テーマ展</v>
      </c>
      <c r="AA41" s="133">
        <f>配置表!$G243</f>
        <v>0.70833333333333337</v>
      </c>
      <c r="AB41" s="18"/>
      <c r="AC41" s="124">
        <f>配置表!$M309</f>
        <v>46028</v>
      </c>
      <c r="AD41" s="125" t="str">
        <f>配置表!$N309</f>
        <v>火</v>
      </c>
      <c r="AE41" s="125" t="str">
        <f>配置表!$L309</f>
        <v/>
      </c>
      <c r="AF41" s="126" t="str">
        <f>配置表!$O309</f>
        <v>冬　特別展</v>
      </c>
      <c r="AG41" s="127" t="str">
        <f>配置表!$P309</f>
        <v>テーマ展</v>
      </c>
      <c r="AH41" s="133">
        <f>配置表!$G309</f>
        <v>0.70833333333333337</v>
      </c>
      <c r="AI41" s="18"/>
      <c r="AJ41" s="124">
        <f>配置表!$M376</f>
        <v>46090</v>
      </c>
      <c r="AK41" s="125" t="str">
        <f>配置表!$N376</f>
        <v>月</v>
      </c>
      <c r="AL41" s="125" t="str">
        <f>配置表!$L376</f>
        <v>閉</v>
      </c>
      <c r="AM41" s="126" t="str">
        <f>配置表!$O376</f>
        <v/>
      </c>
      <c r="AN41" s="127" t="str">
        <f>配置表!$P376</f>
        <v/>
      </c>
      <c r="AO41" s="133">
        <f>配置表!$G376</f>
        <v>0.70833333333333337</v>
      </c>
      <c r="AP41" s="18"/>
    </row>
    <row r="42" spans="1:42">
      <c r="A42" s="124">
        <f>配置表!M47</f>
        <v>45785</v>
      </c>
      <c r="B42" s="125" t="str">
        <f>配置表!N47</f>
        <v>木</v>
      </c>
      <c r="C42" s="125" t="str">
        <f>配置表!L47</f>
        <v/>
      </c>
      <c r="D42" s="126" t="str">
        <f>配置表!O47</f>
        <v>春　特別展</v>
      </c>
      <c r="E42" s="127" t="str">
        <f>配置表!P47</f>
        <v>テーマ展</v>
      </c>
      <c r="F42" s="133">
        <f>配置表!G47</f>
        <v>0.70833333333333337</v>
      </c>
      <c r="G42" s="18"/>
      <c r="H42" s="124">
        <f>配置表!$M113</f>
        <v>45846</v>
      </c>
      <c r="I42" s="125" t="str">
        <f>配置表!$N113</f>
        <v>火</v>
      </c>
      <c r="J42" s="125" t="str">
        <f>配置表!$L113</f>
        <v/>
      </c>
      <c r="K42" s="126" t="str">
        <f>配置表!$O113</f>
        <v>夏　特別展</v>
      </c>
      <c r="L42" s="127" t="str">
        <f>配置表!$P113</f>
        <v>テーマ展</v>
      </c>
      <c r="M42" s="133">
        <f>配置表!$G113</f>
        <v>0.70833333333333337</v>
      </c>
      <c r="N42" s="18"/>
      <c r="O42" s="124">
        <f>配置表!$M178</f>
        <v>45907</v>
      </c>
      <c r="P42" s="125" t="str">
        <f>配置表!$N178</f>
        <v>日</v>
      </c>
      <c r="Q42" s="125" t="str">
        <f>配置表!$L178</f>
        <v/>
      </c>
      <c r="R42" s="126" t="str">
        <f>配置表!$O178</f>
        <v>秋　特別展</v>
      </c>
      <c r="S42" s="127" t="str">
        <f>配置表!$P178</f>
        <v>テーマ展</v>
      </c>
      <c r="T42" s="133">
        <f>配置表!$G178</f>
        <v>0.70833333333333337</v>
      </c>
      <c r="U42" s="18"/>
      <c r="V42" s="124">
        <f>配置表!$M244</f>
        <v>45968</v>
      </c>
      <c r="W42" s="125" t="str">
        <f>配置表!$N244</f>
        <v>金</v>
      </c>
      <c r="X42" s="125" t="str">
        <f>配置表!$L244</f>
        <v/>
      </c>
      <c r="Y42" s="126" t="str">
        <f>配置表!$O244</f>
        <v>秋　特別展</v>
      </c>
      <c r="Z42" s="127" t="str">
        <f>配置表!$P244</f>
        <v>テーマ展</v>
      </c>
      <c r="AA42" s="133">
        <f>配置表!$G244</f>
        <v>0.70833333333333337</v>
      </c>
      <c r="AB42" s="18"/>
      <c r="AC42" s="124">
        <f>配置表!$M310</f>
        <v>46029</v>
      </c>
      <c r="AD42" s="125" t="str">
        <f>配置表!$N310</f>
        <v>水</v>
      </c>
      <c r="AE42" s="125" t="str">
        <f>配置表!$L310</f>
        <v/>
      </c>
      <c r="AF42" s="126" t="str">
        <f>配置表!$O310</f>
        <v>冬　特別展</v>
      </c>
      <c r="AG42" s="127" t="str">
        <f>配置表!$P310</f>
        <v>テーマ展</v>
      </c>
      <c r="AH42" s="133">
        <f>配置表!$G310</f>
        <v>0.70833333333333337</v>
      </c>
      <c r="AI42" s="18"/>
      <c r="AJ42" s="124">
        <f>配置表!$M377</f>
        <v>46091</v>
      </c>
      <c r="AK42" s="125" t="str">
        <f>配置表!$N377</f>
        <v>火</v>
      </c>
      <c r="AL42" s="125" t="str">
        <f>配置表!$L377</f>
        <v/>
      </c>
      <c r="AM42" s="126" t="str">
        <f>配置表!$O377</f>
        <v/>
      </c>
      <c r="AN42" s="127" t="str">
        <f>配置表!$P377</f>
        <v>テーマ展</v>
      </c>
      <c r="AO42" s="133">
        <f>配置表!$G377</f>
        <v>0.70833333333333337</v>
      </c>
      <c r="AP42" s="18"/>
    </row>
    <row r="43" spans="1:42">
      <c r="A43" s="124">
        <f>配置表!M48</f>
        <v>45786</v>
      </c>
      <c r="B43" s="125" t="str">
        <f>配置表!N48</f>
        <v>金</v>
      </c>
      <c r="C43" s="125" t="str">
        <f>配置表!L48</f>
        <v/>
      </c>
      <c r="D43" s="126" t="str">
        <f>配置表!O48</f>
        <v>春　特別展</v>
      </c>
      <c r="E43" s="127" t="str">
        <f>配置表!P48</f>
        <v>テーマ展</v>
      </c>
      <c r="F43" s="133">
        <f>配置表!G48</f>
        <v>0.70833333333333337</v>
      </c>
      <c r="G43" s="18"/>
      <c r="H43" s="124">
        <f>配置表!$M114</f>
        <v>45847</v>
      </c>
      <c r="I43" s="125" t="str">
        <f>配置表!$N114</f>
        <v>水</v>
      </c>
      <c r="J43" s="125" t="str">
        <f>配置表!$L114</f>
        <v/>
      </c>
      <c r="K43" s="126" t="str">
        <f>配置表!$O114</f>
        <v>夏　特別展</v>
      </c>
      <c r="L43" s="127" t="str">
        <f>配置表!$P114</f>
        <v>テーマ展</v>
      </c>
      <c r="M43" s="133">
        <f>配置表!$G114</f>
        <v>0.70833333333333337</v>
      </c>
      <c r="N43" s="18"/>
      <c r="O43" s="124">
        <f>配置表!$M179</f>
        <v>45908</v>
      </c>
      <c r="P43" s="125" t="str">
        <f>配置表!$N179</f>
        <v>月</v>
      </c>
      <c r="Q43" s="125" t="str">
        <f>配置表!$L179</f>
        <v>閉</v>
      </c>
      <c r="R43" s="126" t="str">
        <f>配置表!$O179</f>
        <v>秋　特別展</v>
      </c>
      <c r="S43" s="127" t="str">
        <f>配置表!$P179</f>
        <v>テーマ展</v>
      </c>
      <c r="T43" s="133">
        <f>配置表!$G179</f>
        <v>0.70833333333333337</v>
      </c>
      <c r="U43" s="18"/>
      <c r="V43" s="124">
        <f>配置表!$M245</f>
        <v>45969</v>
      </c>
      <c r="W43" s="125" t="str">
        <f>配置表!$N245</f>
        <v>土</v>
      </c>
      <c r="X43" s="125" t="str">
        <f>配置表!$L245</f>
        <v/>
      </c>
      <c r="Y43" s="126" t="str">
        <f>配置表!$O245</f>
        <v>秋　特別展</v>
      </c>
      <c r="Z43" s="127" t="str">
        <f>配置表!$P245</f>
        <v>テーマ展</v>
      </c>
      <c r="AA43" s="133">
        <f>配置表!$G245</f>
        <v>0.70833333333333337</v>
      </c>
      <c r="AB43" s="18"/>
      <c r="AC43" s="124">
        <f>配置表!$M311</f>
        <v>46030</v>
      </c>
      <c r="AD43" s="125" t="str">
        <f>配置表!$N311</f>
        <v>木</v>
      </c>
      <c r="AE43" s="125" t="str">
        <f>配置表!$L311</f>
        <v/>
      </c>
      <c r="AF43" s="126" t="str">
        <f>配置表!$O311</f>
        <v>冬　特別展</v>
      </c>
      <c r="AG43" s="127" t="str">
        <f>配置表!$P311</f>
        <v>テーマ展</v>
      </c>
      <c r="AH43" s="133">
        <f>配置表!$G311</f>
        <v>0.70833333333333337</v>
      </c>
      <c r="AI43" s="18"/>
      <c r="AJ43" s="124">
        <f>配置表!$M378</f>
        <v>46092</v>
      </c>
      <c r="AK43" s="125" t="str">
        <f>配置表!$N378</f>
        <v>水</v>
      </c>
      <c r="AL43" s="125" t="str">
        <f>配置表!$L378</f>
        <v/>
      </c>
      <c r="AM43" s="126" t="str">
        <f>配置表!$O378</f>
        <v/>
      </c>
      <c r="AN43" s="127" t="str">
        <f>配置表!$P378</f>
        <v>テーマ展</v>
      </c>
      <c r="AO43" s="133">
        <f>配置表!$G378</f>
        <v>0.70833333333333337</v>
      </c>
      <c r="AP43" s="18"/>
    </row>
    <row r="44" spans="1:42">
      <c r="A44" s="124">
        <f>配置表!M49</f>
        <v>45787</v>
      </c>
      <c r="B44" s="125" t="str">
        <f>配置表!N49</f>
        <v>土</v>
      </c>
      <c r="C44" s="125" t="str">
        <f>配置表!L49</f>
        <v/>
      </c>
      <c r="D44" s="126" t="str">
        <f>配置表!O49</f>
        <v>春　特別展</v>
      </c>
      <c r="E44" s="127" t="str">
        <f>配置表!P49</f>
        <v>テーマ展</v>
      </c>
      <c r="F44" s="133">
        <f>配置表!G49</f>
        <v>0.70833333333333337</v>
      </c>
      <c r="G44" s="18"/>
      <c r="H44" s="124">
        <f>配置表!$M115</f>
        <v>45848</v>
      </c>
      <c r="I44" s="125" t="str">
        <f>配置表!$N115</f>
        <v>木</v>
      </c>
      <c r="J44" s="125" t="str">
        <f>配置表!$L115</f>
        <v/>
      </c>
      <c r="K44" s="126" t="str">
        <f>配置表!$O115</f>
        <v>夏　特別展</v>
      </c>
      <c r="L44" s="127" t="str">
        <f>配置表!$P115</f>
        <v>テーマ展</v>
      </c>
      <c r="M44" s="133">
        <f>配置表!$G115</f>
        <v>0.70833333333333337</v>
      </c>
      <c r="N44" s="18"/>
      <c r="O44" s="124">
        <f>配置表!$M180</f>
        <v>45909</v>
      </c>
      <c r="P44" s="125" t="str">
        <f>配置表!$N180</f>
        <v>火</v>
      </c>
      <c r="Q44" s="125" t="str">
        <f>配置表!$L180</f>
        <v/>
      </c>
      <c r="R44" s="126" t="str">
        <f>配置表!$O180</f>
        <v>秋　特別展</v>
      </c>
      <c r="S44" s="127" t="str">
        <f>配置表!$P180</f>
        <v>テーマ展</v>
      </c>
      <c r="T44" s="133">
        <f>配置表!$G180</f>
        <v>0.70833333333333337</v>
      </c>
      <c r="U44" s="18"/>
      <c r="V44" s="124">
        <f>配置表!$M246</f>
        <v>45970</v>
      </c>
      <c r="W44" s="125" t="str">
        <f>配置表!$N246</f>
        <v>日</v>
      </c>
      <c r="X44" s="125" t="str">
        <f>配置表!$L246</f>
        <v/>
      </c>
      <c r="Y44" s="126" t="str">
        <f>配置表!$O246</f>
        <v>秋　特別展</v>
      </c>
      <c r="Z44" s="127" t="str">
        <f>配置表!$P246</f>
        <v>テーマ展</v>
      </c>
      <c r="AA44" s="133">
        <f>配置表!$G246</f>
        <v>0.70833333333333337</v>
      </c>
      <c r="AB44" s="18"/>
      <c r="AC44" s="124">
        <f>配置表!$M312</f>
        <v>46031</v>
      </c>
      <c r="AD44" s="125" t="str">
        <f>配置表!$N312</f>
        <v>金</v>
      </c>
      <c r="AE44" s="125" t="str">
        <f>配置表!$L312</f>
        <v/>
      </c>
      <c r="AF44" s="126" t="str">
        <f>配置表!$O312</f>
        <v>冬　特別展</v>
      </c>
      <c r="AG44" s="127" t="str">
        <f>配置表!$P312</f>
        <v>テーマ展</v>
      </c>
      <c r="AH44" s="133">
        <f>配置表!$G312</f>
        <v>0.70833333333333337</v>
      </c>
      <c r="AI44" s="18"/>
      <c r="AJ44" s="124">
        <f>配置表!$M379</f>
        <v>46093</v>
      </c>
      <c r="AK44" s="125" t="str">
        <f>配置表!$N379</f>
        <v>木</v>
      </c>
      <c r="AL44" s="125" t="str">
        <f>配置表!$L379</f>
        <v/>
      </c>
      <c r="AM44" s="126" t="str">
        <f>配置表!$O379</f>
        <v/>
      </c>
      <c r="AN44" s="127" t="str">
        <f>配置表!$P379</f>
        <v>テーマ展</v>
      </c>
      <c r="AO44" s="133">
        <f>配置表!$G379</f>
        <v>0.70833333333333337</v>
      </c>
      <c r="AP44" s="18"/>
    </row>
    <row r="45" spans="1:42">
      <c r="A45" s="124">
        <f>配置表!M50</f>
        <v>45788</v>
      </c>
      <c r="B45" s="125" t="str">
        <f>配置表!N50</f>
        <v>日</v>
      </c>
      <c r="C45" s="125" t="str">
        <f>配置表!L50</f>
        <v/>
      </c>
      <c r="D45" s="126" t="str">
        <f>配置表!O50</f>
        <v>春　特別展</v>
      </c>
      <c r="E45" s="127" t="str">
        <f>配置表!P50</f>
        <v>テーマ展</v>
      </c>
      <c r="F45" s="133">
        <f>配置表!G50</f>
        <v>0.70833333333333337</v>
      </c>
      <c r="G45" s="18"/>
      <c r="H45" s="124">
        <f>配置表!$M116</f>
        <v>45849</v>
      </c>
      <c r="I45" s="125" t="str">
        <f>配置表!$N116</f>
        <v>金</v>
      </c>
      <c r="J45" s="125" t="str">
        <f>配置表!$L116</f>
        <v/>
      </c>
      <c r="K45" s="126" t="str">
        <f>配置表!$O116</f>
        <v>夏　特別展</v>
      </c>
      <c r="L45" s="127" t="str">
        <f>配置表!$P116</f>
        <v>テーマ展</v>
      </c>
      <c r="M45" s="133">
        <f>配置表!$G116</f>
        <v>0.70833333333333337</v>
      </c>
      <c r="N45" s="18"/>
      <c r="O45" s="124">
        <f>配置表!$M181</f>
        <v>45910</v>
      </c>
      <c r="P45" s="125" t="str">
        <f>配置表!$N181</f>
        <v>水</v>
      </c>
      <c r="Q45" s="125" t="str">
        <f>配置表!$L181</f>
        <v/>
      </c>
      <c r="R45" s="126" t="str">
        <f>配置表!$O181</f>
        <v>秋　特別展</v>
      </c>
      <c r="S45" s="127" t="str">
        <f>配置表!$P181</f>
        <v>テーマ展</v>
      </c>
      <c r="T45" s="133">
        <f>配置表!$G181</f>
        <v>0.70833333333333337</v>
      </c>
      <c r="U45" s="18"/>
      <c r="V45" s="124">
        <f>配置表!$M247</f>
        <v>45971</v>
      </c>
      <c r="W45" s="125" t="str">
        <f>配置表!$N247</f>
        <v>月</v>
      </c>
      <c r="X45" s="125" t="str">
        <f>配置表!$L247</f>
        <v>閉</v>
      </c>
      <c r="Y45" s="126" t="str">
        <f>配置表!$O247</f>
        <v>秋　特別展</v>
      </c>
      <c r="Z45" s="127" t="str">
        <f>配置表!$P247</f>
        <v>テーマ展</v>
      </c>
      <c r="AA45" s="133">
        <f>配置表!$G247</f>
        <v>0.70833333333333337</v>
      </c>
      <c r="AB45" s="18"/>
      <c r="AC45" s="124">
        <f>配置表!$M313</f>
        <v>46032</v>
      </c>
      <c r="AD45" s="125" t="str">
        <f>配置表!$N313</f>
        <v>土</v>
      </c>
      <c r="AE45" s="125" t="str">
        <f>配置表!$L313</f>
        <v/>
      </c>
      <c r="AF45" s="126" t="str">
        <f>配置表!$O313</f>
        <v>冬　特別展</v>
      </c>
      <c r="AG45" s="127" t="str">
        <f>配置表!$P313</f>
        <v>テーマ展</v>
      </c>
      <c r="AH45" s="133">
        <f>配置表!$G313</f>
        <v>0.70833333333333337</v>
      </c>
      <c r="AI45" s="18"/>
      <c r="AJ45" s="124">
        <f>配置表!$M380</f>
        <v>46094</v>
      </c>
      <c r="AK45" s="125" t="str">
        <f>配置表!$N380</f>
        <v>金</v>
      </c>
      <c r="AL45" s="125" t="str">
        <f>配置表!$L380</f>
        <v/>
      </c>
      <c r="AM45" s="126" t="str">
        <f>配置表!$O380</f>
        <v/>
      </c>
      <c r="AN45" s="127" t="str">
        <f>配置表!$P380</f>
        <v>テーマ展</v>
      </c>
      <c r="AO45" s="133">
        <f>配置表!$G380</f>
        <v>0.70833333333333337</v>
      </c>
      <c r="AP45" s="18"/>
    </row>
    <row r="46" spans="1:42">
      <c r="A46" s="124">
        <f>配置表!M51</f>
        <v>45789</v>
      </c>
      <c r="B46" s="125" t="str">
        <f>配置表!N51</f>
        <v>月</v>
      </c>
      <c r="C46" s="125" t="str">
        <f>配置表!L51</f>
        <v>閉</v>
      </c>
      <c r="D46" s="126" t="str">
        <f>配置表!O51</f>
        <v>春　特別展</v>
      </c>
      <c r="E46" s="127" t="str">
        <f>配置表!P51</f>
        <v>テーマ展</v>
      </c>
      <c r="F46" s="133">
        <f>配置表!G51</f>
        <v>0.70833333333333337</v>
      </c>
      <c r="G46" s="18"/>
      <c r="H46" s="124">
        <f>配置表!$M117</f>
        <v>45850</v>
      </c>
      <c r="I46" s="125" t="str">
        <f>配置表!$N117</f>
        <v>土</v>
      </c>
      <c r="J46" s="125" t="str">
        <f>配置表!$L117</f>
        <v/>
      </c>
      <c r="K46" s="126" t="str">
        <f>配置表!$O117</f>
        <v>夏　特別展</v>
      </c>
      <c r="L46" s="127" t="str">
        <f>配置表!$P117</f>
        <v>テーマ展</v>
      </c>
      <c r="M46" s="133">
        <f>配置表!$G117</f>
        <v>0.70833333333333337</v>
      </c>
      <c r="N46" s="18"/>
      <c r="O46" s="124">
        <f>配置表!$M182</f>
        <v>45911</v>
      </c>
      <c r="P46" s="125" t="str">
        <f>配置表!$N182</f>
        <v>木</v>
      </c>
      <c r="Q46" s="125" t="str">
        <f>配置表!$L182</f>
        <v/>
      </c>
      <c r="R46" s="126" t="str">
        <f>配置表!$O182</f>
        <v>秋　特別展</v>
      </c>
      <c r="S46" s="127" t="str">
        <f>配置表!$P182</f>
        <v>テーマ展</v>
      </c>
      <c r="T46" s="133">
        <f>配置表!$G182</f>
        <v>0.70833333333333337</v>
      </c>
      <c r="U46" s="18"/>
      <c r="V46" s="124">
        <f>配置表!$M248</f>
        <v>45972</v>
      </c>
      <c r="W46" s="125" t="str">
        <f>配置表!$N248</f>
        <v>火</v>
      </c>
      <c r="X46" s="125" t="str">
        <f>配置表!$L248</f>
        <v/>
      </c>
      <c r="Y46" s="126" t="str">
        <f>配置表!$O248</f>
        <v>秋　特別展</v>
      </c>
      <c r="Z46" s="127" t="str">
        <f>配置表!$P248</f>
        <v>テーマ展</v>
      </c>
      <c r="AA46" s="133">
        <f>配置表!$G248</f>
        <v>0.70833333333333337</v>
      </c>
      <c r="AB46" s="18"/>
      <c r="AC46" s="124">
        <f>配置表!$M314</f>
        <v>46033</v>
      </c>
      <c r="AD46" s="125" t="str">
        <f>配置表!$N314</f>
        <v>日</v>
      </c>
      <c r="AE46" s="125" t="str">
        <f>配置表!$L314</f>
        <v/>
      </c>
      <c r="AF46" s="126" t="str">
        <f>配置表!$O314</f>
        <v>冬　特別展</v>
      </c>
      <c r="AG46" s="127" t="str">
        <f>配置表!$P314</f>
        <v>テーマ展</v>
      </c>
      <c r="AH46" s="133">
        <f>配置表!$G314</f>
        <v>0.70833333333333337</v>
      </c>
      <c r="AI46" s="18"/>
      <c r="AJ46" s="124">
        <f>配置表!$M381</f>
        <v>46095</v>
      </c>
      <c r="AK46" s="125" t="str">
        <f>配置表!$N381</f>
        <v>土</v>
      </c>
      <c r="AL46" s="125" t="str">
        <f>配置表!$L381</f>
        <v/>
      </c>
      <c r="AM46" s="126" t="str">
        <f>配置表!$O381</f>
        <v/>
      </c>
      <c r="AN46" s="127" t="str">
        <f>配置表!$P381</f>
        <v>テーマ展</v>
      </c>
      <c r="AO46" s="133">
        <f>配置表!$G381</f>
        <v>0.70833333333333337</v>
      </c>
      <c r="AP46" s="18"/>
    </row>
    <row r="47" spans="1:42">
      <c r="A47" s="124">
        <f>配置表!M52</f>
        <v>45790</v>
      </c>
      <c r="B47" s="125" t="str">
        <f>配置表!N52</f>
        <v>火</v>
      </c>
      <c r="C47" s="125" t="str">
        <f>配置表!L52</f>
        <v/>
      </c>
      <c r="D47" s="126" t="str">
        <f>配置表!O52</f>
        <v>春　特別展</v>
      </c>
      <c r="E47" s="127" t="str">
        <f>配置表!P52</f>
        <v>テーマ展</v>
      </c>
      <c r="F47" s="133">
        <f>配置表!G52</f>
        <v>0.70833333333333337</v>
      </c>
      <c r="G47" s="18"/>
      <c r="H47" s="124">
        <f>配置表!$M118</f>
        <v>45851</v>
      </c>
      <c r="I47" s="125" t="str">
        <f>配置表!$N118</f>
        <v>日</v>
      </c>
      <c r="J47" s="125" t="str">
        <f>配置表!$L118</f>
        <v/>
      </c>
      <c r="K47" s="126" t="str">
        <f>配置表!$O118</f>
        <v>夏　特別展</v>
      </c>
      <c r="L47" s="127" t="str">
        <f>配置表!$P118</f>
        <v>テーマ展</v>
      </c>
      <c r="M47" s="133">
        <f>配置表!$G118</f>
        <v>0.70833333333333337</v>
      </c>
      <c r="N47" s="18"/>
      <c r="O47" s="124">
        <f>配置表!$M183</f>
        <v>45912</v>
      </c>
      <c r="P47" s="125" t="str">
        <f>配置表!$N183</f>
        <v>金</v>
      </c>
      <c r="Q47" s="125" t="str">
        <f>配置表!$L183</f>
        <v/>
      </c>
      <c r="R47" s="126" t="str">
        <f>配置表!$O183</f>
        <v>秋　特別展</v>
      </c>
      <c r="S47" s="127" t="str">
        <f>配置表!$P183</f>
        <v>テーマ展</v>
      </c>
      <c r="T47" s="133">
        <f>配置表!$G183</f>
        <v>0.70833333333333337</v>
      </c>
      <c r="U47" s="18"/>
      <c r="V47" s="124">
        <f>配置表!$M249</f>
        <v>45973</v>
      </c>
      <c r="W47" s="125" t="str">
        <f>配置表!$N249</f>
        <v>水</v>
      </c>
      <c r="X47" s="125" t="str">
        <f>配置表!$L249</f>
        <v/>
      </c>
      <c r="Y47" s="126" t="str">
        <f>配置表!$O249</f>
        <v>秋　特別展</v>
      </c>
      <c r="Z47" s="127" t="str">
        <f>配置表!$P249</f>
        <v>テーマ展</v>
      </c>
      <c r="AA47" s="133">
        <f>配置表!$G249</f>
        <v>0.70833333333333337</v>
      </c>
      <c r="AB47" s="18"/>
      <c r="AC47" s="124">
        <f>配置表!$M315</f>
        <v>46034</v>
      </c>
      <c r="AD47" s="125" t="str">
        <f>配置表!$N315</f>
        <v>月</v>
      </c>
      <c r="AE47" s="125" t="str">
        <f>配置表!$L315</f>
        <v/>
      </c>
      <c r="AF47" s="126" t="str">
        <f>配置表!$O315</f>
        <v>冬　特別展</v>
      </c>
      <c r="AG47" s="127" t="str">
        <f>配置表!$P315</f>
        <v>テーマ展</v>
      </c>
      <c r="AH47" s="133">
        <f>配置表!$G315</f>
        <v>0.70833333333333337</v>
      </c>
      <c r="AI47" s="18"/>
      <c r="AJ47" s="124">
        <f>配置表!$M382</f>
        <v>46096</v>
      </c>
      <c r="AK47" s="125" t="str">
        <f>配置表!$N382</f>
        <v>日</v>
      </c>
      <c r="AL47" s="125" t="str">
        <f>配置表!$L382</f>
        <v/>
      </c>
      <c r="AM47" s="126" t="str">
        <f>配置表!$O382</f>
        <v/>
      </c>
      <c r="AN47" s="127" t="str">
        <f>配置表!$P382</f>
        <v>テーマ展</v>
      </c>
      <c r="AO47" s="133">
        <f>配置表!$G382</f>
        <v>0.70833333333333337</v>
      </c>
      <c r="AP47" s="18"/>
    </row>
    <row r="48" spans="1:42">
      <c r="A48" s="124">
        <f>配置表!M53</f>
        <v>45791</v>
      </c>
      <c r="B48" s="125" t="str">
        <f>配置表!N53</f>
        <v>水</v>
      </c>
      <c r="C48" s="125" t="str">
        <f>配置表!L53</f>
        <v/>
      </c>
      <c r="D48" s="126" t="str">
        <f>配置表!O53</f>
        <v>春　特別展</v>
      </c>
      <c r="E48" s="127" t="str">
        <f>配置表!P53</f>
        <v>テーマ展</v>
      </c>
      <c r="F48" s="133">
        <f>配置表!G53</f>
        <v>0.70833333333333337</v>
      </c>
      <c r="G48" s="18"/>
      <c r="H48" s="124">
        <f>配置表!$M119</f>
        <v>45852</v>
      </c>
      <c r="I48" s="125" t="str">
        <f>配置表!$N119</f>
        <v>月</v>
      </c>
      <c r="J48" s="125" t="str">
        <f>配置表!$L119</f>
        <v>閉</v>
      </c>
      <c r="K48" s="126" t="str">
        <f>配置表!$O119</f>
        <v>夏　特別展</v>
      </c>
      <c r="L48" s="127" t="str">
        <f>配置表!$P119</f>
        <v>テーマ展</v>
      </c>
      <c r="M48" s="133">
        <f>配置表!$G119</f>
        <v>0.70833333333333337</v>
      </c>
      <c r="N48" s="18"/>
      <c r="O48" s="124">
        <f>配置表!$M184</f>
        <v>45913</v>
      </c>
      <c r="P48" s="125" t="str">
        <f>配置表!$N184</f>
        <v>土</v>
      </c>
      <c r="Q48" s="125" t="str">
        <f>配置表!$L184</f>
        <v/>
      </c>
      <c r="R48" s="126" t="str">
        <f>配置表!$O184</f>
        <v>秋　特別展</v>
      </c>
      <c r="S48" s="127" t="str">
        <f>配置表!$P184</f>
        <v>テーマ展</v>
      </c>
      <c r="T48" s="133">
        <f>配置表!$G184</f>
        <v>0.70833333333333337</v>
      </c>
      <c r="U48" s="18"/>
      <c r="V48" s="124">
        <f>配置表!$M250</f>
        <v>45974</v>
      </c>
      <c r="W48" s="125" t="str">
        <f>配置表!$N250</f>
        <v>木</v>
      </c>
      <c r="X48" s="125" t="str">
        <f>配置表!$L250</f>
        <v/>
      </c>
      <c r="Y48" s="126" t="str">
        <f>配置表!$O250</f>
        <v>秋　特別展</v>
      </c>
      <c r="Z48" s="127" t="str">
        <f>配置表!$P250</f>
        <v>テーマ展</v>
      </c>
      <c r="AA48" s="133">
        <f>配置表!$G250</f>
        <v>0.70833333333333337</v>
      </c>
      <c r="AB48" s="18"/>
      <c r="AC48" s="124">
        <f>配置表!$M316</f>
        <v>46035</v>
      </c>
      <c r="AD48" s="125" t="str">
        <f>配置表!$N316</f>
        <v>火</v>
      </c>
      <c r="AE48" s="125" t="str">
        <f>配置表!$L316</f>
        <v>閉</v>
      </c>
      <c r="AF48" s="126" t="str">
        <f>配置表!$O316</f>
        <v>冬　特別展</v>
      </c>
      <c r="AG48" s="127" t="str">
        <f>配置表!$P316</f>
        <v>テーマ展</v>
      </c>
      <c r="AH48" s="133">
        <f>配置表!$G316</f>
        <v>0.70833333333333337</v>
      </c>
      <c r="AI48" s="18"/>
      <c r="AJ48" s="124">
        <f>配置表!$M383</f>
        <v>46097</v>
      </c>
      <c r="AK48" s="125" t="str">
        <f>配置表!$N383</f>
        <v>月</v>
      </c>
      <c r="AL48" s="125" t="str">
        <f>配置表!$L383</f>
        <v>閉</v>
      </c>
      <c r="AM48" s="126" t="str">
        <f>配置表!$O383</f>
        <v/>
      </c>
      <c r="AN48" s="127" t="str">
        <f>配置表!$P383</f>
        <v>テーマ展</v>
      </c>
      <c r="AO48" s="133">
        <f>配置表!$G383</f>
        <v>0.70833333333333337</v>
      </c>
      <c r="AP48" s="18"/>
    </row>
    <row r="49" spans="1:42">
      <c r="A49" s="124">
        <f>配置表!M54</f>
        <v>45792</v>
      </c>
      <c r="B49" s="125" t="str">
        <f>配置表!N54</f>
        <v>木</v>
      </c>
      <c r="C49" s="125" t="str">
        <f>配置表!L54</f>
        <v/>
      </c>
      <c r="D49" s="126" t="str">
        <f>配置表!O54</f>
        <v>春　特別展</v>
      </c>
      <c r="E49" s="127" t="str">
        <f>配置表!P54</f>
        <v>テーマ展</v>
      </c>
      <c r="F49" s="133">
        <f>配置表!G54</f>
        <v>0.70833333333333337</v>
      </c>
      <c r="G49" s="18"/>
      <c r="H49" s="124">
        <f>配置表!$M120</f>
        <v>45853</v>
      </c>
      <c r="I49" s="125" t="str">
        <f>配置表!$N120</f>
        <v>火</v>
      </c>
      <c r="J49" s="125" t="str">
        <f>配置表!$L120</f>
        <v/>
      </c>
      <c r="K49" s="126" t="str">
        <f>配置表!$O120</f>
        <v>夏　特別展</v>
      </c>
      <c r="L49" s="127" t="str">
        <f>配置表!$P120</f>
        <v>テーマ展</v>
      </c>
      <c r="M49" s="133">
        <f>配置表!$G120</f>
        <v>0.70833333333333337</v>
      </c>
      <c r="N49" s="18"/>
      <c r="O49" s="124">
        <f>配置表!$M185</f>
        <v>45914</v>
      </c>
      <c r="P49" s="125" t="str">
        <f>配置表!$N185</f>
        <v>日</v>
      </c>
      <c r="Q49" s="125" t="str">
        <f>配置表!$L185</f>
        <v/>
      </c>
      <c r="R49" s="126" t="str">
        <f>配置表!$O185</f>
        <v>秋　特別展</v>
      </c>
      <c r="S49" s="127" t="str">
        <f>配置表!$P185</f>
        <v>テーマ展</v>
      </c>
      <c r="T49" s="133">
        <f>配置表!$G185</f>
        <v>0.70833333333333337</v>
      </c>
      <c r="U49" s="18"/>
      <c r="V49" s="124">
        <f>配置表!$M251</f>
        <v>45975</v>
      </c>
      <c r="W49" s="125" t="str">
        <f>配置表!$N251</f>
        <v>金</v>
      </c>
      <c r="X49" s="125" t="str">
        <f>配置表!$L251</f>
        <v/>
      </c>
      <c r="Y49" s="126" t="str">
        <f>配置表!$O251</f>
        <v>秋　特別展</v>
      </c>
      <c r="Z49" s="127" t="str">
        <f>配置表!$P251</f>
        <v>テーマ展</v>
      </c>
      <c r="AA49" s="133">
        <f>配置表!$G251</f>
        <v>0.70833333333333337</v>
      </c>
      <c r="AB49" s="18"/>
      <c r="AC49" s="124">
        <f>配置表!$M317</f>
        <v>46036</v>
      </c>
      <c r="AD49" s="125" t="str">
        <f>配置表!$N317</f>
        <v>水</v>
      </c>
      <c r="AE49" s="125" t="str">
        <f>配置表!$L317</f>
        <v/>
      </c>
      <c r="AF49" s="126" t="str">
        <f>配置表!$O317</f>
        <v>冬　特別展</v>
      </c>
      <c r="AG49" s="127" t="str">
        <f>配置表!$P317</f>
        <v>テーマ展</v>
      </c>
      <c r="AH49" s="133">
        <f>配置表!$G317</f>
        <v>0.70833333333333337</v>
      </c>
      <c r="AI49" s="18"/>
      <c r="AJ49" s="124">
        <f>配置表!$M384</f>
        <v>46098</v>
      </c>
      <c r="AK49" s="125" t="str">
        <f>配置表!$N384</f>
        <v>火</v>
      </c>
      <c r="AL49" s="125" t="str">
        <f>配置表!$L384</f>
        <v/>
      </c>
      <c r="AM49" s="126" t="str">
        <f>配置表!$O384</f>
        <v/>
      </c>
      <c r="AN49" s="127" t="str">
        <f>配置表!$P384</f>
        <v>テーマ展</v>
      </c>
      <c r="AO49" s="133">
        <f>配置表!$G384</f>
        <v>0.70833333333333337</v>
      </c>
      <c r="AP49" s="18"/>
    </row>
    <row r="50" spans="1:42">
      <c r="A50" s="124">
        <f>配置表!M55</f>
        <v>45793</v>
      </c>
      <c r="B50" s="125" t="str">
        <f>配置表!N55</f>
        <v>金</v>
      </c>
      <c r="C50" s="125" t="str">
        <f>配置表!L55</f>
        <v/>
      </c>
      <c r="D50" s="126" t="str">
        <f>配置表!O55</f>
        <v>春　特別展</v>
      </c>
      <c r="E50" s="127" t="str">
        <f>配置表!P55</f>
        <v>テーマ展</v>
      </c>
      <c r="F50" s="133">
        <f>配置表!G55</f>
        <v>0.70833333333333337</v>
      </c>
      <c r="G50" s="18"/>
      <c r="H50" s="124">
        <f>配置表!$M121</f>
        <v>45854</v>
      </c>
      <c r="I50" s="125" t="str">
        <f>配置表!$N121</f>
        <v>水</v>
      </c>
      <c r="J50" s="125" t="str">
        <f>配置表!$L121</f>
        <v/>
      </c>
      <c r="K50" s="126" t="str">
        <f>配置表!$O121</f>
        <v>夏　特別展</v>
      </c>
      <c r="L50" s="127" t="str">
        <f>配置表!$P121</f>
        <v>テーマ展</v>
      </c>
      <c r="M50" s="133">
        <f>配置表!$G121</f>
        <v>0.70833333333333337</v>
      </c>
      <c r="N50" s="18"/>
      <c r="O50" s="124">
        <f>配置表!$M186</f>
        <v>45915</v>
      </c>
      <c r="P50" s="125" t="str">
        <f>配置表!$N186</f>
        <v>月</v>
      </c>
      <c r="Q50" s="125" t="str">
        <f>配置表!$L186</f>
        <v/>
      </c>
      <c r="R50" s="126" t="str">
        <f>配置表!$O186</f>
        <v>秋　特別展</v>
      </c>
      <c r="S50" s="127" t="str">
        <f>配置表!$P186</f>
        <v>テーマ展</v>
      </c>
      <c r="T50" s="133">
        <f>配置表!$G186</f>
        <v>0.70833333333333337</v>
      </c>
      <c r="U50" s="18"/>
      <c r="V50" s="124">
        <f>配置表!$M252</f>
        <v>45976</v>
      </c>
      <c r="W50" s="125" t="str">
        <f>配置表!$N252</f>
        <v>土</v>
      </c>
      <c r="X50" s="125" t="str">
        <f>配置表!$L252</f>
        <v/>
      </c>
      <c r="Y50" s="126" t="str">
        <f>配置表!$O252</f>
        <v>秋　特別展</v>
      </c>
      <c r="Z50" s="127" t="str">
        <f>配置表!$P252</f>
        <v>テーマ展</v>
      </c>
      <c r="AA50" s="133">
        <f>配置表!$G252</f>
        <v>0.70833333333333337</v>
      </c>
      <c r="AB50" s="18"/>
      <c r="AC50" s="124">
        <f>配置表!$M318</f>
        <v>46037</v>
      </c>
      <c r="AD50" s="125" t="str">
        <f>配置表!$N318</f>
        <v>木</v>
      </c>
      <c r="AE50" s="125" t="str">
        <f>配置表!$L318</f>
        <v/>
      </c>
      <c r="AF50" s="126" t="str">
        <f>配置表!$O318</f>
        <v>冬　特別展</v>
      </c>
      <c r="AG50" s="127" t="str">
        <f>配置表!$P318</f>
        <v>テーマ展</v>
      </c>
      <c r="AH50" s="133">
        <f>配置表!$G318</f>
        <v>0.70833333333333337</v>
      </c>
      <c r="AI50" s="18"/>
      <c r="AJ50" s="124">
        <f>配置表!$M385</f>
        <v>46099</v>
      </c>
      <c r="AK50" s="125" t="str">
        <f>配置表!$N385</f>
        <v>水</v>
      </c>
      <c r="AL50" s="125" t="str">
        <f>配置表!$L385</f>
        <v/>
      </c>
      <c r="AM50" s="126" t="str">
        <f>配置表!$O385</f>
        <v/>
      </c>
      <c r="AN50" s="127" t="str">
        <f>配置表!$P385</f>
        <v>テーマ展</v>
      </c>
      <c r="AO50" s="133">
        <f>配置表!$G385</f>
        <v>0.70833333333333337</v>
      </c>
      <c r="AP50" s="18"/>
    </row>
    <row r="51" spans="1:42">
      <c r="A51" s="124">
        <f>配置表!M56</f>
        <v>45794</v>
      </c>
      <c r="B51" s="125" t="str">
        <f>配置表!N56</f>
        <v>土</v>
      </c>
      <c r="C51" s="125" t="str">
        <f>配置表!L56</f>
        <v/>
      </c>
      <c r="D51" s="126" t="str">
        <f>配置表!O56</f>
        <v>春　特別展</v>
      </c>
      <c r="E51" s="127" t="str">
        <f>配置表!P56</f>
        <v>テーマ展</v>
      </c>
      <c r="F51" s="133">
        <f>配置表!G56</f>
        <v>0.70833333333333337</v>
      </c>
      <c r="G51" s="18"/>
      <c r="H51" s="124">
        <f>配置表!$M122</f>
        <v>45855</v>
      </c>
      <c r="I51" s="125" t="str">
        <f>配置表!$N122</f>
        <v>木</v>
      </c>
      <c r="J51" s="125" t="str">
        <f>配置表!$L122</f>
        <v/>
      </c>
      <c r="K51" s="126" t="str">
        <f>配置表!$O122</f>
        <v>夏　特別展</v>
      </c>
      <c r="L51" s="127" t="str">
        <f>配置表!$P122</f>
        <v>テーマ展</v>
      </c>
      <c r="M51" s="133">
        <f>配置表!$G122</f>
        <v>0.70833333333333337</v>
      </c>
      <c r="N51" s="18"/>
      <c r="O51" s="124">
        <f>配置表!$M187</f>
        <v>45916</v>
      </c>
      <c r="P51" s="125" t="str">
        <f>配置表!$N187</f>
        <v>火</v>
      </c>
      <c r="Q51" s="125" t="str">
        <f>配置表!$L187</f>
        <v>閉</v>
      </c>
      <c r="R51" s="126" t="str">
        <f>配置表!$O187</f>
        <v>秋　特別展</v>
      </c>
      <c r="S51" s="127" t="str">
        <f>配置表!$P187</f>
        <v>テーマ展</v>
      </c>
      <c r="T51" s="133">
        <f>配置表!$G187</f>
        <v>0.70833333333333337</v>
      </c>
      <c r="U51" s="18"/>
      <c r="V51" s="124">
        <f>配置表!$M253</f>
        <v>45977</v>
      </c>
      <c r="W51" s="125" t="str">
        <f>配置表!$N253</f>
        <v>日</v>
      </c>
      <c r="X51" s="125" t="str">
        <f>配置表!$L253</f>
        <v/>
      </c>
      <c r="Y51" s="126" t="str">
        <f>配置表!$O253</f>
        <v>秋　特別展</v>
      </c>
      <c r="Z51" s="127" t="str">
        <f>配置表!$P253</f>
        <v>テーマ展</v>
      </c>
      <c r="AA51" s="133">
        <f>配置表!$G253</f>
        <v>0.70833333333333337</v>
      </c>
      <c r="AB51" s="18"/>
      <c r="AC51" s="124">
        <f>配置表!$M319</f>
        <v>46038</v>
      </c>
      <c r="AD51" s="125" t="str">
        <f>配置表!$N319</f>
        <v>金</v>
      </c>
      <c r="AE51" s="125" t="str">
        <f>配置表!$L319</f>
        <v/>
      </c>
      <c r="AF51" s="126" t="str">
        <f>配置表!$O319</f>
        <v>冬　特別展</v>
      </c>
      <c r="AG51" s="127" t="str">
        <f>配置表!$P319</f>
        <v>テーマ展</v>
      </c>
      <c r="AH51" s="133">
        <f>配置表!$G319</f>
        <v>0.70833333333333337</v>
      </c>
      <c r="AI51" s="18"/>
      <c r="AJ51" s="124">
        <f>配置表!$M386</f>
        <v>46100</v>
      </c>
      <c r="AK51" s="125" t="str">
        <f>配置表!$N386</f>
        <v>木</v>
      </c>
      <c r="AL51" s="125" t="str">
        <f>配置表!$L386</f>
        <v/>
      </c>
      <c r="AM51" s="126" t="str">
        <f>配置表!$O386</f>
        <v/>
      </c>
      <c r="AN51" s="127" t="str">
        <f>配置表!$P386</f>
        <v>テーマ展</v>
      </c>
      <c r="AO51" s="133">
        <f>配置表!$G386</f>
        <v>0.70833333333333337</v>
      </c>
    </row>
    <row r="52" spans="1:42">
      <c r="A52" s="124">
        <f>配置表!M57</f>
        <v>45795</v>
      </c>
      <c r="B52" s="125" t="str">
        <f>配置表!N57</f>
        <v>日</v>
      </c>
      <c r="C52" s="125" t="str">
        <f>配置表!L57</f>
        <v/>
      </c>
      <c r="D52" s="126" t="str">
        <f>配置表!O57</f>
        <v>春　特別展</v>
      </c>
      <c r="E52" s="127" t="str">
        <f>配置表!P57</f>
        <v>テーマ展</v>
      </c>
      <c r="F52" s="133">
        <f>配置表!G57</f>
        <v>0.70833333333333337</v>
      </c>
      <c r="G52" s="18"/>
      <c r="H52" s="124">
        <f>配置表!$M123</f>
        <v>45856</v>
      </c>
      <c r="I52" s="125" t="str">
        <f>配置表!$N123</f>
        <v>金</v>
      </c>
      <c r="J52" s="125" t="str">
        <f>配置表!$L123</f>
        <v/>
      </c>
      <c r="K52" s="126" t="str">
        <f>配置表!$O123</f>
        <v>夏　特別展</v>
      </c>
      <c r="L52" s="127" t="str">
        <f>配置表!$P123</f>
        <v>テーマ展</v>
      </c>
      <c r="M52" s="133">
        <f>配置表!$G123</f>
        <v>0.70833333333333337</v>
      </c>
      <c r="N52" s="18"/>
      <c r="O52" s="124">
        <f>配置表!$M188</f>
        <v>45917</v>
      </c>
      <c r="P52" s="125" t="str">
        <f>配置表!$N188</f>
        <v>水</v>
      </c>
      <c r="Q52" s="125" t="str">
        <f>配置表!$L188</f>
        <v/>
      </c>
      <c r="R52" s="126" t="str">
        <f>配置表!$O188</f>
        <v>秋　特別展</v>
      </c>
      <c r="S52" s="127" t="str">
        <f>配置表!$P188</f>
        <v>テーマ展</v>
      </c>
      <c r="T52" s="133">
        <f>配置表!$G188</f>
        <v>0.70833333333333337</v>
      </c>
      <c r="U52" s="18"/>
      <c r="V52" s="124">
        <f>配置表!$M254</f>
        <v>45978</v>
      </c>
      <c r="W52" s="125" t="str">
        <f>配置表!$N254</f>
        <v>月</v>
      </c>
      <c r="X52" s="125" t="str">
        <f>配置表!$L254</f>
        <v>閉</v>
      </c>
      <c r="Y52" s="126" t="str">
        <f>配置表!$O254</f>
        <v>秋　特別展</v>
      </c>
      <c r="Z52" s="127" t="str">
        <f>配置表!$P254</f>
        <v>テーマ展</v>
      </c>
      <c r="AA52" s="133">
        <f>配置表!$G254</f>
        <v>0.70833333333333337</v>
      </c>
      <c r="AB52" s="18"/>
      <c r="AC52" s="124">
        <f>配置表!$M320</f>
        <v>46039</v>
      </c>
      <c r="AD52" s="125" t="str">
        <f>配置表!$N320</f>
        <v>土</v>
      </c>
      <c r="AE52" s="125" t="str">
        <f>配置表!$L320</f>
        <v/>
      </c>
      <c r="AF52" s="126" t="str">
        <f>配置表!$O320</f>
        <v>冬　特別展</v>
      </c>
      <c r="AG52" s="127" t="str">
        <f>配置表!$P320</f>
        <v>テーマ展</v>
      </c>
      <c r="AH52" s="133">
        <f>配置表!$G320</f>
        <v>0.70833333333333337</v>
      </c>
      <c r="AI52" s="18"/>
      <c r="AJ52" s="124">
        <f>配置表!$M387</f>
        <v>46101</v>
      </c>
      <c r="AK52" s="125" t="str">
        <f>配置表!$N387</f>
        <v>金</v>
      </c>
      <c r="AL52" s="125" t="str">
        <f>配置表!$L387</f>
        <v/>
      </c>
      <c r="AM52" s="126" t="str">
        <f>配置表!$O387</f>
        <v/>
      </c>
      <c r="AN52" s="127" t="str">
        <f>配置表!$P387</f>
        <v>テーマ展</v>
      </c>
      <c r="AO52" s="133">
        <f>配置表!$G387</f>
        <v>0.70833333333333337</v>
      </c>
    </row>
    <row r="53" spans="1:42">
      <c r="A53" s="124">
        <f>配置表!M58</f>
        <v>45796</v>
      </c>
      <c r="B53" s="125" t="str">
        <f>配置表!N58</f>
        <v>月</v>
      </c>
      <c r="C53" s="125" t="str">
        <f>配置表!L58</f>
        <v>閉</v>
      </c>
      <c r="D53" s="126" t="str">
        <f>配置表!O58</f>
        <v>春　特別展</v>
      </c>
      <c r="E53" s="127" t="str">
        <f>配置表!P58</f>
        <v>テーマ展</v>
      </c>
      <c r="F53" s="133">
        <f>配置表!G58</f>
        <v>0.70833333333333337</v>
      </c>
      <c r="G53" s="18"/>
      <c r="H53" s="124">
        <f>配置表!$M124</f>
        <v>45857</v>
      </c>
      <c r="I53" s="125" t="str">
        <f>配置表!$N124</f>
        <v>土</v>
      </c>
      <c r="J53" s="125" t="str">
        <f>配置表!$L124</f>
        <v/>
      </c>
      <c r="K53" s="126" t="str">
        <f>配置表!$O124</f>
        <v>夏　特別展</v>
      </c>
      <c r="L53" s="127" t="str">
        <f>配置表!$P124</f>
        <v>テーマ展</v>
      </c>
      <c r="M53" s="133">
        <f>配置表!$G124</f>
        <v>0.70833333333333337</v>
      </c>
      <c r="N53" s="18"/>
      <c r="O53" s="124">
        <f>配置表!$M189</f>
        <v>45918</v>
      </c>
      <c r="P53" s="125" t="str">
        <f>配置表!$N189</f>
        <v>木</v>
      </c>
      <c r="Q53" s="125" t="str">
        <f>配置表!$L189</f>
        <v/>
      </c>
      <c r="R53" s="126" t="str">
        <f>配置表!$O189</f>
        <v>秋　特別展</v>
      </c>
      <c r="S53" s="127" t="str">
        <f>配置表!$P189</f>
        <v>テーマ展</v>
      </c>
      <c r="T53" s="133">
        <f>配置表!$G189</f>
        <v>0.70833333333333337</v>
      </c>
      <c r="U53" s="18"/>
      <c r="V53" s="124">
        <f>配置表!$M255</f>
        <v>45979</v>
      </c>
      <c r="W53" s="125" t="str">
        <f>配置表!$N255</f>
        <v>火</v>
      </c>
      <c r="X53" s="125" t="str">
        <f>配置表!$L255</f>
        <v/>
      </c>
      <c r="Y53" s="126" t="str">
        <f>配置表!$O255</f>
        <v>秋　特別展</v>
      </c>
      <c r="Z53" s="127" t="str">
        <f>配置表!$P255</f>
        <v>テーマ展</v>
      </c>
      <c r="AA53" s="133">
        <f>配置表!$G255</f>
        <v>0.70833333333333337</v>
      </c>
      <c r="AB53" s="18"/>
      <c r="AC53" s="124">
        <f>配置表!$M321</f>
        <v>46040</v>
      </c>
      <c r="AD53" s="125" t="str">
        <f>配置表!$N321</f>
        <v>日</v>
      </c>
      <c r="AE53" s="125" t="str">
        <f>配置表!$L321</f>
        <v/>
      </c>
      <c r="AF53" s="126" t="str">
        <f>配置表!$O321</f>
        <v>冬　特別展</v>
      </c>
      <c r="AG53" s="127" t="str">
        <f>配置表!$P321</f>
        <v>テーマ展</v>
      </c>
      <c r="AH53" s="133">
        <f>配置表!$G321</f>
        <v>0.70833333333333337</v>
      </c>
      <c r="AI53" s="18"/>
      <c r="AJ53" s="124">
        <f>配置表!$M388</f>
        <v>46102</v>
      </c>
      <c r="AK53" s="125" t="str">
        <f>配置表!$N388</f>
        <v>土</v>
      </c>
      <c r="AL53" s="125" t="str">
        <f>配置表!$L388</f>
        <v/>
      </c>
      <c r="AM53" s="126" t="str">
        <f>配置表!$O388</f>
        <v>春　特別展</v>
      </c>
      <c r="AN53" s="127" t="str">
        <f>配置表!$P388</f>
        <v>テーマ展</v>
      </c>
      <c r="AO53" s="133">
        <f>配置表!$G388</f>
        <v>0.70833333333333337</v>
      </c>
    </row>
    <row r="54" spans="1:42">
      <c r="A54" s="124">
        <f>配置表!M59</f>
        <v>45797</v>
      </c>
      <c r="B54" s="125" t="str">
        <f>配置表!N59</f>
        <v>火</v>
      </c>
      <c r="C54" s="125" t="str">
        <f>配置表!L59</f>
        <v/>
      </c>
      <c r="D54" s="126" t="str">
        <f>配置表!O59</f>
        <v>春　特別展</v>
      </c>
      <c r="E54" s="127" t="str">
        <f>配置表!P59</f>
        <v>テーマ展</v>
      </c>
      <c r="F54" s="133">
        <f>配置表!G59</f>
        <v>0.70833333333333337</v>
      </c>
      <c r="G54" s="18"/>
      <c r="H54" s="124">
        <f>配置表!$M125</f>
        <v>45858</v>
      </c>
      <c r="I54" s="125" t="str">
        <f>配置表!$N125</f>
        <v>日</v>
      </c>
      <c r="J54" s="125" t="str">
        <f>配置表!$L125</f>
        <v/>
      </c>
      <c r="K54" s="126" t="str">
        <f>配置表!$O125</f>
        <v>夏　特別展</v>
      </c>
      <c r="L54" s="127" t="str">
        <f>配置表!$P125</f>
        <v>テーマ展</v>
      </c>
      <c r="M54" s="133">
        <f>配置表!$G125</f>
        <v>0.70833333333333337</v>
      </c>
      <c r="N54" s="18"/>
      <c r="O54" s="124">
        <f>配置表!$M190</f>
        <v>45919</v>
      </c>
      <c r="P54" s="125" t="str">
        <f>配置表!$N190</f>
        <v>金</v>
      </c>
      <c r="Q54" s="125" t="str">
        <f>配置表!$L190</f>
        <v/>
      </c>
      <c r="R54" s="126" t="str">
        <f>配置表!$O190</f>
        <v>秋　特別展</v>
      </c>
      <c r="S54" s="127" t="str">
        <f>配置表!$P190</f>
        <v>テーマ展</v>
      </c>
      <c r="T54" s="133">
        <f>配置表!$G190</f>
        <v>0.70833333333333337</v>
      </c>
      <c r="U54" s="18"/>
      <c r="V54" s="124">
        <f>配置表!$M256</f>
        <v>45980</v>
      </c>
      <c r="W54" s="125" t="str">
        <f>配置表!$N256</f>
        <v>水</v>
      </c>
      <c r="X54" s="125" t="str">
        <f>配置表!$L256</f>
        <v/>
      </c>
      <c r="Y54" s="126" t="str">
        <f>配置表!$O256</f>
        <v>秋　特別展</v>
      </c>
      <c r="Z54" s="127" t="str">
        <f>配置表!$P256</f>
        <v>テーマ展</v>
      </c>
      <c r="AA54" s="133">
        <f>配置表!$G256</f>
        <v>0.70833333333333337</v>
      </c>
      <c r="AB54" s="18"/>
      <c r="AC54" s="124">
        <f>配置表!$M322</f>
        <v>46041</v>
      </c>
      <c r="AD54" s="125" t="str">
        <f>配置表!$N322</f>
        <v>月</v>
      </c>
      <c r="AE54" s="125" t="str">
        <f>配置表!$L322</f>
        <v>閉</v>
      </c>
      <c r="AF54" s="126" t="str">
        <f>配置表!$O322</f>
        <v>冬　特別展</v>
      </c>
      <c r="AG54" s="127" t="str">
        <f>配置表!$P322</f>
        <v>テーマ展</v>
      </c>
      <c r="AH54" s="133">
        <f>配置表!$G322</f>
        <v>0.70833333333333337</v>
      </c>
      <c r="AI54" s="18"/>
      <c r="AJ54" s="124">
        <f>配置表!$M389</f>
        <v>46103</v>
      </c>
      <c r="AK54" s="125" t="str">
        <f>配置表!$N389</f>
        <v>日</v>
      </c>
      <c r="AL54" s="125" t="str">
        <f>配置表!$L389</f>
        <v/>
      </c>
      <c r="AM54" s="126" t="str">
        <f>配置表!$O389</f>
        <v>春　特別展</v>
      </c>
      <c r="AN54" s="127" t="str">
        <f>配置表!$P389</f>
        <v>テーマ展</v>
      </c>
      <c r="AO54" s="133">
        <f>配置表!$G389</f>
        <v>0.70833333333333337</v>
      </c>
    </row>
    <row r="55" spans="1:42">
      <c r="A55" s="124">
        <f>配置表!M60</f>
        <v>45798</v>
      </c>
      <c r="B55" s="125" t="str">
        <f>配置表!N60</f>
        <v>水</v>
      </c>
      <c r="C55" s="125" t="str">
        <f>配置表!L60</f>
        <v/>
      </c>
      <c r="D55" s="126" t="str">
        <f>配置表!O60</f>
        <v>春　特別展</v>
      </c>
      <c r="E55" s="127" t="str">
        <f>配置表!P60</f>
        <v>テーマ展</v>
      </c>
      <c r="F55" s="133">
        <f>配置表!G60</f>
        <v>0.70833333333333337</v>
      </c>
      <c r="G55" s="18"/>
      <c r="H55" s="124">
        <f>配置表!$M126</f>
        <v>45859</v>
      </c>
      <c r="I55" s="125" t="str">
        <f>配置表!$N126</f>
        <v>月</v>
      </c>
      <c r="J55" s="125" t="str">
        <f>配置表!$L126</f>
        <v/>
      </c>
      <c r="K55" s="126" t="str">
        <f>配置表!$O126</f>
        <v>夏　特別展</v>
      </c>
      <c r="L55" s="127" t="str">
        <f>配置表!$P126</f>
        <v>テーマ展</v>
      </c>
      <c r="M55" s="133">
        <f>配置表!$G126</f>
        <v>0.70833333333333337</v>
      </c>
      <c r="N55" s="18"/>
      <c r="O55" s="124">
        <f>配置表!$M191</f>
        <v>45920</v>
      </c>
      <c r="P55" s="125" t="str">
        <f>配置表!$N191</f>
        <v>土</v>
      </c>
      <c r="Q55" s="125" t="str">
        <f>配置表!$L191</f>
        <v/>
      </c>
      <c r="R55" s="126" t="str">
        <f>配置表!$O191</f>
        <v>秋　特別展</v>
      </c>
      <c r="S55" s="127" t="str">
        <f>配置表!$P191</f>
        <v>テーマ展</v>
      </c>
      <c r="T55" s="133">
        <f>配置表!$G191</f>
        <v>0.70833333333333337</v>
      </c>
      <c r="U55" s="18"/>
      <c r="V55" s="124">
        <f>配置表!$M257</f>
        <v>45981</v>
      </c>
      <c r="W55" s="125" t="str">
        <f>配置表!$N257</f>
        <v>木</v>
      </c>
      <c r="X55" s="125" t="str">
        <f>配置表!$L257</f>
        <v/>
      </c>
      <c r="Y55" s="126" t="str">
        <f>配置表!$O257</f>
        <v>秋　特別展</v>
      </c>
      <c r="Z55" s="127" t="str">
        <f>配置表!$P257</f>
        <v>テーマ展</v>
      </c>
      <c r="AA55" s="133">
        <f>配置表!$G257</f>
        <v>0.70833333333333337</v>
      </c>
      <c r="AB55" s="18"/>
      <c r="AC55" s="124">
        <f>配置表!$M323</f>
        <v>46042</v>
      </c>
      <c r="AD55" s="125" t="str">
        <f>配置表!$N323</f>
        <v>火</v>
      </c>
      <c r="AE55" s="125" t="str">
        <f>配置表!$L323</f>
        <v/>
      </c>
      <c r="AF55" s="126" t="str">
        <f>配置表!$O323</f>
        <v>冬　特別展</v>
      </c>
      <c r="AG55" s="127" t="str">
        <f>配置表!$P323</f>
        <v>テーマ展</v>
      </c>
      <c r="AH55" s="133">
        <f>配置表!$G323</f>
        <v>0.70833333333333337</v>
      </c>
      <c r="AI55" s="18"/>
      <c r="AJ55" s="124">
        <f>配置表!$M390</f>
        <v>46104</v>
      </c>
      <c r="AK55" s="125" t="str">
        <f>配置表!$N390</f>
        <v>月</v>
      </c>
      <c r="AL55" s="125" t="str">
        <f>配置表!$L390</f>
        <v>閉</v>
      </c>
      <c r="AM55" s="126" t="str">
        <f>配置表!$O390</f>
        <v>春　特別展</v>
      </c>
      <c r="AN55" s="127" t="str">
        <f>配置表!$P390</f>
        <v>テーマ展</v>
      </c>
      <c r="AO55" s="133">
        <f>配置表!$G390</f>
        <v>0.70833333333333337</v>
      </c>
    </row>
    <row r="56" spans="1:42">
      <c r="A56" s="124">
        <f>配置表!M61</f>
        <v>45799</v>
      </c>
      <c r="B56" s="125" t="str">
        <f>配置表!N61</f>
        <v>木</v>
      </c>
      <c r="C56" s="125" t="str">
        <f>配置表!L61</f>
        <v/>
      </c>
      <c r="D56" s="126" t="str">
        <f>配置表!O61</f>
        <v>春　特別展</v>
      </c>
      <c r="E56" s="127" t="str">
        <f>配置表!P61</f>
        <v>テーマ展</v>
      </c>
      <c r="F56" s="133">
        <f>配置表!G61</f>
        <v>0.70833333333333337</v>
      </c>
      <c r="G56" s="18"/>
      <c r="H56" s="124">
        <f>配置表!$M127</f>
        <v>45860</v>
      </c>
      <c r="I56" s="125" t="str">
        <f>配置表!$N127</f>
        <v>火</v>
      </c>
      <c r="J56" s="125" t="str">
        <f>配置表!$L127</f>
        <v>閉</v>
      </c>
      <c r="K56" s="126" t="str">
        <f>配置表!$O127</f>
        <v>夏　特別展</v>
      </c>
      <c r="L56" s="127" t="str">
        <f>配置表!$P127</f>
        <v>テーマ展</v>
      </c>
      <c r="M56" s="133">
        <f>配置表!$G127</f>
        <v>0.70833333333333337</v>
      </c>
      <c r="N56" s="18"/>
      <c r="O56" s="124">
        <f>配置表!$M192</f>
        <v>45921</v>
      </c>
      <c r="P56" s="125" t="str">
        <f>配置表!$N192</f>
        <v>日</v>
      </c>
      <c r="Q56" s="125" t="str">
        <f>配置表!$L192</f>
        <v/>
      </c>
      <c r="R56" s="126" t="str">
        <f>配置表!$O192</f>
        <v>秋　特別展</v>
      </c>
      <c r="S56" s="127" t="str">
        <f>配置表!$P192</f>
        <v>テーマ展</v>
      </c>
      <c r="T56" s="133">
        <f>配置表!$G192</f>
        <v>0.70833333333333337</v>
      </c>
      <c r="U56" s="18"/>
      <c r="V56" s="124">
        <f>配置表!$M258</f>
        <v>45982</v>
      </c>
      <c r="W56" s="125" t="str">
        <f>配置表!$N258</f>
        <v>金</v>
      </c>
      <c r="X56" s="125" t="str">
        <f>配置表!$L258</f>
        <v/>
      </c>
      <c r="Y56" s="126" t="str">
        <f>配置表!$O258</f>
        <v>秋　特別展</v>
      </c>
      <c r="Z56" s="127" t="str">
        <f>配置表!$P258</f>
        <v>テーマ展</v>
      </c>
      <c r="AA56" s="133">
        <f>配置表!$G258</f>
        <v>0.70833333333333337</v>
      </c>
      <c r="AB56" s="18"/>
      <c r="AC56" s="124">
        <f>配置表!$M324</f>
        <v>46043</v>
      </c>
      <c r="AD56" s="125" t="str">
        <f>配置表!$N324</f>
        <v>水</v>
      </c>
      <c r="AE56" s="125" t="str">
        <f>配置表!$L324</f>
        <v/>
      </c>
      <c r="AF56" s="126" t="str">
        <f>配置表!$O324</f>
        <v>冬　特別展</v>
      </c>
      <c r="AG56" s="127" t="str">
        <f>配置表!$P324</f>
        <v>テーマ展</v>
      </c>
      <c r="AH56" s="133">
        <f>配置表!$G324</f>
        <v>0.70833333333333337</v>
      </c>
      <c r="AI56" s="18"/>
      <c r="AJ56" s="124">
        <f>配置表!$M391</f>
        <v>46105</v>
      </c>
      <c r="AK56" s="125" t="str">
        <f>配置表!$N391</f>
        <v>火</v>
      </c>
      <c r="AL56" s="125" t="str">
        <f>配置表!$L391</f>
        <v/>
      </c>
      <c r="AM56" s="126" t="str">
        <f>配置表!$O391</f>
        <v>春　特別展</v>
      </c>
      <c r="AN56" s="127" t="str">
        <f>配置表!$P391</f>
        <v>テーマ展</v>
      </c>
      <c r="AO56" s="133">
        <f>配置表!$G391</f>
        <v>0.70833333333333337</v>
      </c>
    </row>
    <row r="57" spans="1:42">
      <c r="A57" s="124">
        <f>配置表!M62</f>
        <v>45800</v>
      </c>
      <c r="B57" s="125" t="str">
        <f>配置表!N62</f>
        <v>金</v>
      </c>
      <c r="C57" s="125" t="str">
        <f>配置表!L62</f>
        <v/>
      </c>
      <c r="D57" s="126" t="str">
        <f>配置表!O62</f>
        <v>春　特別展</v>
      </c>
      <c r="E57" s="127" t="str">
        <f>配置表!P62</f>
        <v>テーマ展</v>
      </c>
      <c r="F57" s="133">
        <f>配置表!G62</f>
        <v>0.70833333333333337</v>
      </c>
      <c r="G57" s="18"/>
      <c r="H57" s="124">
        <f>配置表!$M128</f>
        <v>45861</v>
      </c>
      <c r="I57" s="125" t="str">
        <f>配置表!$N128</f>
        <v>水</v>
      </c>
      <c r="J57" s="125" t="str">
        <f>配置表!$L128</f>
        <v/>
      </c>
      <c r="K57" s="126" t="str">
        <f>配置表!$O128</f>
        <v>夏　特別展</v>
      </c>
      <c r="L57" s="127" t="str">
        <f>配置表!$P128</f>
        <v>テーマ展</v>
      </c>
      <c r="M57" s="133">
        <f>配置表!$G128</f>
        <v>0.70833333333333337</v>
      </c>
      <c r="N57" s="18"/>
      <c r="O57" s="124">
        <f>配置表!$M193</f>
        <v>45922</v>
      </c>
      <c r="P57" s="125" t="str">
        <f>配置表!$N193</f>
        <v>月</v>
      </c>
      <c r="Q57" s="125" t="str">
        <f>配置表!$L193</f>
        <v>閉</v>
      </c>
      <c r="R57" s="126" t="str">
        <f>配置表!$O193</f>
        <v>秋　特別展</v>
      </c>
      <c r="S57" s="127" t="str">
        <f>配置表!$P193</f>
        <v>テーマ展</v>
      </c>
      <c r="T57" s="133">
        <f>配置表!$G193</f>
        <v>0.70833333333333337</v>
      </c>
      <c r="U57" s="18"/>
      <c r="V57" s="124">
        <f>配置表!$M259</f>
        <v>45983</v>
      </c>
      <c r="W57" s="125" t="str">
        <f>配置表!$N259</f>
        <v>土</v>
      </c>
      <c r="X57" s="125" t="str">
        <f>配置表!$L259</f>
        <v/>
      </c>
      <c r="Y57" s="126" t="str">
        <f>配置表!$O259</f>
        <v>秋　特別展</v>
      </c>
      <c r="Z57" s="127" t="str">
        <f>配置表!$P259</f>
        <v>テーマ展</v>
      </c>
      <c r="AA57" s="133">
        <f>配置表!$G259</f>
        <v>0.70833333333333337</v>
      </c>
      <c r="AB57" s="18"/>
      <c r="AC57" s="124">
        <f>配置表!$M325</f>
        <v>46044</v>
      </c>
      <c r="AD57" s="125" t="str">
        <f>配置表!$N325</f>
        <v>木</v>
      </c>
      <c r="AE57" s="125" t="str">
        <f>配置表!$L325</f>
        <v/>
      </c>
      <c r="AF57" s="126" t="str">
        <f>配置表!$O325</f>
        <v>冬　特別展</v>
      </c>
      <c r="AG57" s="127" t="str">
        <f>配置表!$P325</f>
        <v>テーマ展</v>
      </c>
      <c r="AH57" s="133">
        <f>配置表!$G325</f>
        <v>0.70833333333333337</v>
      </c>
      <c r="AI57" s="18"/>
      <c r="AJ57" s="124">
        <f>配置表!$M392</f>
        <v>46106</v>
      </c>
      <c r="AK57" s="125" t="str">
        <f>配置表!$N392</f>
        <v>水</v>
      </c>
      <c r="AL57" s="125" t="str">
        <f>配置表!$L392</f>
        <v/>
      </c>
      <c r="AM57" s="126" t="str">
        <f>配置表!$O392</f>
        <v>春　特別展</v>
      </c>
      <c r="AN57" s="127" t="str">
        <f>配置表!$P392</f>
        <v>テーマ展</v>
      </c>
      <c r="AO57" s="133">
        <f>配置表!$G392</f>
        <v>0.70833333333333337</v>
      </c>
    </row>
    <row r="58" spans="1:42">
      <c r="A58" s="124">
        <f>配置表!M63</f>
        <v>45801</v>
      </c>
      <c r="B58" s="125" t="str">
        <f>配置表!N63</f>
        <v>土</v>
      </c>
      <c r="C58" s="125" t="str">
        <f>配置表!L63</f>
        <v/>
      </c>
      <c r="D58" s="126" t="str">
        <f>配置表!O63</f>
        <v>春　特別展</v>
      </c>
      <c r="E58" s="127" t="str">
        <f>配置表!P63</f>
        <v>テーマ展</v>
      </c>
      <c r="F58" s="133">
        <f>配置表!G63</f>
        <v>0.70833333333333337</v>
      </c>
      <c r="G58" s="18"/>
      <c r="H58" s="124">
        <f>配置表!$M129</f>
        <v>45862</v>
      </c>
      <c r="I58" s="125" t="str">
        <f>配置表!$N129</f>
        <v>木</v>
      </c>
      <c r="J58" s="125" t="str">
        <f>配置表!$L129</f>
        <v/>
      </c>
      <c r="K58" s="126" t="str">
        <f>配置表!$O129</f>
        <v>夏　特別展</v>
      </c>
      <c r="L58" s="127" t="str">
        <f>配置表!$P129</f>
        <v>テーマ展</v>
      </c>
      <c r="M58" s="133">
        <f>配置表!$G129</f>
        <v>0.70833333333333337</v>
      </c>
      <c r="N58" s="18"/>
      <c r="O58" s="124">
        <f>配置表!$M194</f>
        <v>45923</v>
      </c>
      <c r="P58" s="125" t="str">
        <f>配置表!$N194</f>
        <v>火</v>
      </c>
      <c r="Q58" s="125" t="str">
        <f>配置表!$L194</f>
        <v/>
      </c>
      <c r="R58" s="126" t="str">
        <f>配置表!$O194</f>
        <v>秋　特別展</v>
      </c>
      <c r="S58" s="127" t="str">
        <f>配置表!$P194</f>
        <v>テーマ展</v>
      </c>
      <c r="T58" s="133">
        <f>配置表!$G194</f>
        <v>0.70833333333333337</v>
      </c>
      <c r="U58" s="18"/>
      <c r="V58" s="124">
        <f>配置表!$M260</f>
        <v>45984</v>
      </c>
      <c r="W58" s="125" t="str">
        <f>配置表!$N260</f>
        <v>日</v>
      </c>
      <c r="X58" s="125" t="str">
        <f>配置表!$L260</f>
        <v/>
      </c>
      <c r="Y58" s="126" t="str">
        <f>配置表!$O260</f>
        <v>秋　特別展</v>
      </c>
      <c r="Z58" s="127" t="str">
        <f>配置表!$P260</f>
        <v>テーマ展</v>
      </c>
      <c r="AA58" s="133">
        <f>配置表!$G260</f>
        <v>0.70833333333333337</v>
      </c>
      <c r="AB58" s="18"/>
      <c r="AC58" s="124">
        <f>配置表!$M326</f>
        <v>46045</v>
      </c>
      <c r="AD58" s="125" t="str">
        <f>配置表!$N326</f>
        <v>金</v>
      </c>
      <c r="AE58" s="125" t="str">
        <f>配置表!$L326</f>
        <v/>
      </c>
      <c r="AF58" s="126" t="str">
        <f>配置表!$O326</f>
        <v>冬　特別展</v>
      </c>
      <c r="AG58" s="127" t="str">
        <f>配置表!$P326</f>
        <v>テーマ展</v>
      </c>
      <c r="AH58" s="133">
        <f>配置表!$G326</f>
        <v>0.70833333333333337</v>
      </c>
      <c r="AI58" s="18"/>
      <c r="AJ58" s="124">
        <f>配置表!$M393</f>
        <v>46107</v>
      </c>
      <c r="AK58" s="125" t="str">
        <f>配置表!$N393</f>
        <v>木</v>
      </c>
      <c r="AL58" s="125" t="str">
        <f>配置表!$L393</f>
        <v/>
      </c>
      <c r="AM58" s="126" t="str">
        <f>配置表!$O393</f>
        <v>春　特別展</v>
      </c>
      <c r="AN58" s="127" t="str">
        <f>配置表!$P393</f>
        <v>テーマ展</v>
      </c>
      <c r="AO58" s="133">
        <f>配置表!$G393</f>
        <v>0.70833333333333337</v>
      </c>
    </row>
    <row r="59" spans="1:42">
      <c r="A59" s="124">
        <f>配置表!M64</f>
        <v>45802</v>
      </c>
      <c r="B59" s="125" t="str">
        <f>配置表!N64</f>
        <v>日</v>
      </c>
      <c r="C59" s="125" t="str">
        <f>配置表!L64</f>
        <v/>
      </c>
      <c r="D59" s="126" t="str">
        <f>配置表!O64</f>
        <v>春　特別展</v>
      </c>
      <c r="E59" s="127" t="str">
        <f>配置表!P64</f>
        <v>テーマ展</v>
      </c>
      <c r="F59" s="133">
        <f>配置表!G64</f>
        <v>0.70833333333333337</v>
      </c>
      <c r="G59" s="18"/>
      <c r="H59" s="124">
        <f>配置表!$M130</f>
        <v>45863</v>
      </c>
      <c r="I59" s="125" t="str">
        <f>配置表!$N130</f>
        <v>金</v>
      </c>
      <c r="J59" s="125" t="str">
        <f>配置表!$L130</f>
        <v/>
      </c>
      <c r="K59" s="126" t="str">
        <f>配置表!$O130</f>
        <v>夏　特別展</v>
      </c>
      <c r="L59" s="127" t="str">
        <f>配置表!$P130</f>
        <v>テーマ展</v>
      </c>
      <c r="M59" s="133">
        <f>配置表!$G130</f>
        <v>0.70833333333333337</v>
      </c>
      <c r="N59" s="18"/>
      <c r="O59" s="124">
        <f>配置表!$M195</f>
        <v>45924</v>
      </c>
      <c r="P59" s="125" t="str">
        <f>配置表!$N195</f>
        <v>水</v>
      </c>
      <c r="Q59" s="125" t="str">
        <f>配置表!$L195</f>
        <v/>
      </c>
      <c r="R59" s="126" t="str">
        <f>配置表!$O195</f>
        <v>秋　特別展</v>
      </c>
      <c r="S59" s="127" t="str">
        <f>配置表!$P195</f>
        <v>テーマ展</v>
      </c>
      <c r="T59" s="133">
        <f>配置表!$G195</f>
        <v>0.70833333333333337</v>
      </c>
      <c r="U59" s="18"/>
      <c r="V59" s="124">
        <f>配置表!$M261</f>
        <v>45985</v>
      </c>
      <c r="W59" s="125" t="str">
        <f>配置表!$N261</f>
        <v>月</v>
      </c>
      <c r="X59" s="125" t="str">
        <f>配置表!$L261</f>
        <v/>
      </c>
      <c r="Y59" s="126" t="str">
        <f>配置表!$O261</f>
        <v>秋　特別展</v>
      </c>
      <c r="Z59" s="127" t="str">
        <f>配置表!$P261</f>
        <v>テーマ展</v>
      </c>
      <c r="AA59" s="133">
        <f>配置表!$G261</f>
        <v>0.70833333333333337</v>
      </c>
      <c r="AB59" s="18"/>
      <c r="AC59" s="124">
        <f>配置表!$M327</f>
        <v>46046</v>
      </c>
      <c r="AD59" s="125" t="str">
        <f>配置表!$N327</f>
        <v>土</v>
      </c>
      <c r="AE59" s="125" t="str">
        <f>配置表!$L327</f>
        <v/>
      </c>
      <c r="AF59" s="126" t="str">
        <f>配置表!$O327</f>
        <v>冬　特別展</v>
      </c>
      <c r="AG59" s="127" t="str">
        <f>配置表!$P327</f>
        <v>テーマ展</v>
      </c>
      <c r="AH59" s="133">
        <f>配置表!$G327</f>
        <v>0.70833333333333337</v>
      </c>
      <c r="AI59" s="18"/>
      <c r="AJ59" s="124">
        <f>配置表!$M394</f>
        <v>46108</v>
      </c>
      <c r="AK59" s="125" t="str">
        <f>配置表!$N394</f>
        <v>金</v>
      </c>
      <c r="AL59" s="125" t="str">
        <f>配置表!$L394</f>
        <v/>
      </c>
      <c r="AM59" s="126" t="str">
        <f>配置表!$O394</f>
        <v>春　特別展</v>
      </c>
      <c r="AN59" s="127" t="str">
        <f>配置表!$P394</f>
        <v>テーマ展</v>
      </c>
      <c r="AO59" s="133">
        <f>配置表!$G394</f>
        <v>0.70833333333333337</v>
      </c>
    </row>
    <row r="60" spans="1:42">
      <c r="A60" s="124">
        <f>配置表!M65</f>
        <v>45803</v>
      </c>
      <c r="B60" s="125" t="str">
        <f>配置表!N65</f>
        <v>月</v>
      </c>
      <c r="C60" s="125" t="str">
        <f>配置表!L65</f>
        <v>閉</v>
      </c>
      <c r="D60" s="126" t="str">
        <f>配置表!O65</f>
        <v/>
      </c>
      <c r="E60" s="127" t="str">
        <f>配置表!P65</f>
        <v>テーマ展</v>
      </c>
      <c r="F60" s="133">
        <f>配置表!G65</f>
        <v>0.70833333333333337</v>
      </c>
      <c r="G60" s="18"/>
      <c r="H60" s="124">
        <f>配置表!$M131</f>
        <v>45864</v>
      </c>
      <c r="I60" s="125" t="str">
        <f>配置表!$N131</f>
        <v>土</v>
      </c>
      <c r="J60" s="125" t="str">
        <f>配置表!$L131</f>
        <v/>
      </c>
      <c r="K60" s="126" t="str">
        <f>配置表!$O131</f>
        <v>夏　特別展</v>
      </c>
      <c r="L60" s="127" t="str">
        <f>配置表!$P131</f>
        <v>テーマ展</v>
      </c>
      <c r="M60" s="133">
        <f>配置表!$G131</f>
        <v>0.70833333333333337</v>
      </c>
      <c r="N60" s="18"/>
      <c r="O60" s="124">
        <f>配置表!$M196</f>
        <v>45925</v>
      </c>
      <c r="P60" s="125" t="str">
        <f>配置表!$N196</f>
        <v>木</v>
      </c>
      <c r="Q60" s="125" t="str">
        <f>配置表!$L196</f>
        <v/>
      </c>
      <c r="R60" s="126" t="str">
        <f>配置表!$O196</f>
        <v>秋　特別展</v>
      </c>
      <c r="S60" s="127" t="str">
        <f>配置表!$P196</f>
        <v>テーマ展</v>
      </c>
      <c r="T60" s="133">
        <f>配置表!$G196</f>
        <v>0.70833333333333337</v>
      </c>
      <c r="U60" s="18"/>
      <c r="V60" s="124">
        <f>配置表!$M262</f>
        <v>45986</v>
      </c>
      <c r="W60" s="125" t="str">
        <f>配置表!$N262</f>
        <v>火</v>
      </c>
      <c r="X60" s="125" t="str">
        <f>配置表!$L262</f>
        <v>閉</v>
      </c>
      <c r="Y60" s="126" t="str">
        <f>配置表!$O262</f>
        <v/>
      </c>
      <c r="Z60" s="127" t="str">
        <f>配置表!$P262</f>
        <v>テーマ展</v>
      </c>
      <c r="AA60" s="133">
        <f>配置表!$G262</f>
        <v>0.70833333333333337</v>
      </c>
      <c r="AB60" s="18"/>
      <c r="AC60" s="124">
        <f>配置表!$M328</f>
        <v>46047</v>
      </c>
      <c r="AD60" s="125" t="str">
        <f>配置表!$N328</f>
        <v>日</v>
      </c>
      <c r="AE60" s="125" t="str">
        <f>配置表!$L328</f>
        <v/>
      </c>
      <c r="AF60" s="126" t="str">
        <f>配置表!$O328</f>
        <v>冬　特別展</v>
      </c>
      <c r="AG60" s="127" t="str">
        <f>配置表!$P328</f>
        <v>テーマ展</v>
      </c>
      <c r="AH60" s="133">
        <f>配置表!$G328</f>
        <v>0.70833333333333337</v>
      </c>
      <c r="AI60" s="18"/>
      <c r="AJ60" s="124">
        <f>配置表!$M395</f>
        <v>46109</v>
      </c>
      <c r="AK60" s="125" t="str">
        <f>配置表!$N395</f>
        <v>土</v>
      </c>
      <c r="AL60" s="125" t="str">
        <f>配置表!$L395</f>
        <v/>
      </c>
      <c r="AM60" s="126" t="str">
        <f>配置表!$O395</f>
        <v>春　特別展</v>
      </c>
      <c r="AN60" s="127" t="str">
        <f>配置表!$P395</f>
        <v>テーマ展</v>
      </c>
      <c r="AO60" s="133">
        <f>配置表!$G395</f>
        <v>0.70833333333333337</v>
      </c>
    </row>
    <row r="61" spans="1:42">
      <c r="A61" s="124">
        <f>配置表!M66</f>
        <v>45804</v>
      </c>
      <c r="B61" s="125" t="str">
        <f>配置表!N66</f>
        <v>火</v>
      </c>
      <c r="C61" s="125" t="str">
        <f>配置表!L66</f>
        <v/>
      </c>
      <c r="D61" s="126" t="str">
        <f>配置表!O66</f>
        <v/>
      </c>
      <c r="E61" s="127" t="str">
        <f>配置表!P66</f>
        <v>テーマ展</v>
      </c>
      <c r="F61" s="133">
        <f>配置表!G66</f>
        <v>0.70833333333333337</v>
      </c>
      <c r="G61" s="18"/>
      <c r="H61" s="124">
        <f>配置表!$M132</f>
        <v>45865</v>
      </c>
      <c r="I61" s="125" t="str">
        <f>配置表!$N132</f>
        <v>日</v>
      </c>
      <c r="J61" s="125" t="str">
        <f>配置表!$L132</f>
        <v/>
      </c>
      <c r="K61" s="126" t="str">
        <f>配置表!$O132</f>
        <v>夏　特別展</v>
      </c>
      <c r="L61" s="127" t="str">
        <f>配置表!$P132</f>
        <v>テーマ展</v>
      </c>
      <c r="M61" s="133">
        <f>配置表!$G132</f>
        <v>0.70833333333333337</v>
      </c>
      <c r="N61" s="18"/>
      <c r="O61" s="124">
        <f>配置表!$M197</f>
        <v>45926</v>
      </c>
      <c r="P61" s="125" t="str">
        <f>配置表!$N197</f>
        <v>金</v>
      </c>
      <c r="Q61" s="125" t="str">
        <f>配置表!$L197</f>
        <v/>
      </c>
      <c r="R61" s="126" t="str">
        <f>配置表!$O197</f>
        <v>秋　特別展</v>
      </c>
      <c r="S61" s="127" t="str">
        <f>配置表!$P197</f>
        <v>テーマ展</v>
      </c>
      <c r="T61" s="133">
        <f>配置表!$G197</f>
        <v>0.70833333333333337</v>
      </c>
      <c r="U61" s="18"/>
      <c r="V61" s="124">
        <f>配置表!$M263</f>
        <v>45987</v>
      </c>
      <c r="W61" s="125" t="str">
        <f>配置表!$N263</f>
        <v>水</v>
      </c>
      <c r="X61" s="125" t="str">
        <f>配置表!$L263</f>
        <v/>
      </c>
      <c r="Y61" s="126" t="str">
        <f>配置表!$O263</f>
        <v/>
      </c>
      <c r="Z61" s="127" t="str">
        <f>配置表!$P263</f>
        <v>テーマ展</v>
      </c>
      <c r="AA61" s="133">
        <f>配置表!$G263</f>
        <v>0.70833333333333337</v>
      </c>
      <c r="AB61" s="18"/>
      <c r="AC61" s="124">
        <f>配置表!$M329</f>
        <v>46048</v>
      </c>
      <c r="AD61" s="125" t="str">
        <f>配置表!$N329</f>
        <v>月</v>
      </c>
      <c r="AE61" s="125" t="str">
        <f>配置表!$L329</f>
        <v>閉</v>
      </c>
      <c r="AF61" s="126" t="str">
        <f>配置表!$O329</f>
        <v>冬　特別展</v>
      </c>
      <c r="AG61" s="127" t="str">
        <f>配置表!$P329</f>
        <v>テーマ展</v>
      </c>
      <c r="AH61" s="133">
        <f>配置表!$G329</f>
        <v>0.70833333333333337</v>
      </c>
      <c r="AI61" s="18"/>
      <c r="AJ61" s="124">
        <f>配置表!$M396</f>
        <v>46110</v>
      </c>
      <c r="AK61" s="125" t="str">
        <f>配置表!$N396</f>
        <v>日</v>
      </c>
      <c r="AL61" s="125" t="str">
        <f>配置表!$L396</f>
        <v/>
      </c>
      <c r="AM61" s="126" t="str">
        <f>配置表!$O396</f>
        <v>春　特別展</v>
      </c>
      <c r="AN61" s="127" t="str">
        <f>配置表!$P396</f>
        <v>テーマ展</v>
      </c>
      <c r="AO61" s="133">
        <f>配置表!$G396</f>
        <v>0.70833333333333337</v>
      </c>
    </row>
    <row r="62" spans="1:42">
      <c r="A62" s="124">
        <f>配置表!M67</f>
        <v>45805</v>
      </c>
      <c r="B62" s="125" t="str">
        <f>配置表!N67</f>
        <v>水</v>
      </c>
      <c r="C62" s="125" t="str">
        <f>配置表!L67</f>
        <v/>
      </c>
      <c r="D62" s="126" t="str">
        <f>配置表!O67</f>
        <v/>
      </c>
      <c r="E62" s="127" t="str">
        <f>配置表!P67</f>
        <v>テーマ展</v>
      </c>
      <c r="F62" s="133">
        <f>配置表!G67</f>
        <v>0.70833333333333337</v>
      </c>
      <c r="G62" s="18"/>
      <c r="H62" s="124">
        <f>配置表!$M133</f>
        <v>45866</v>
      </c>
      <c r="I62" s="125" t="str">
        <f>配置表!$N133</f>
        <v>月</v>
      </c>
      <c r="J62" s="125" t="str">
        <f>配置表!$L133</f>
        <v>閉</v>
      </c>
      <c r="K62" s="126" t="str">
        <f>配置表!$O133</f>
        <v>夏　特別展</v>
      </c>
      <c r="L62" s="127" t="str">
        <f>配置表!$P133</f>
        <v>テーマ展</v>
      </c>
      <c r="M62" s="133">
        <f>配置表!$G133</f>
        <v>0.70833333333333337</v>
      </c>
      <c r="N62" s="18"/>
      <c r="O62" s="124">
        <f>配置表!$M198</f>
        <v>45927</v>
      </c>
      <c r="P62" s="125" t="str">
        <f>配置表!$N198</f>
        <v>土</v>
      </c>
      <c r="Q62" s="125" t="str">
        <f>配置表!$L198</f>
        <v/>
      </c>
      <c r="R62" s="126" t="str">
        <f>配置表!$O198</f>
        <v>秋　特別展</v>
      </c>
      <c r="S62" s="127" t="str">
        <f>配置表!$P198</f>
        <v>テーマ展</v>
      </c>
      <c r="T62" s="133">
        <f>配置表!$G198</f>
        <v>0.70833333333333337</v>
      </c>
      <c r="U62" s="18"/>
      <c r="V62" s="124">
        <f>配置表!$M264</f>
        <v>45988</v>
      </c>
      <c r="W62" s="125" t="str">
        <f>配置表!$N264</f>
        <v>木</v>
      </c>
      <c r="X62" s="125" t="str">
        <f>配置表!$L264</f>
        <v/>
      </c>
      <c r="Y62" s="126" t="str">
        <f>配置表!$O264</f>
        <v/>
      </c>
      <c r="Z62" s="127" t="str">
        <f>配置表!$P264</f>
        <v>テーマ展</v>
      </c>
      <c r="AA62" s="133">
        <f>配置表!$G264</f>
        <v>0.70833333333333337</v>
      </c>
      <c r="AB62" s="18"/>
      <c r="AC62" s="124">
        <f>配置表!$M330</f>
        <v>46049</v>
      </c>
      <c r="AD62" s="125" t="str">
        <f>配置表!$N330</f>
        <v>火</v>
      </c>
      <c r="AE62" s="125" t="str">
        <f>配置表!$L330</f>
        <v/>
      </c>
      <c r="AF62" s="126" t="str">
        <f>配置表!$O330</f>
        <v>冬　特別展</v>
      </c>
      <c r="AG62" s="127" t="str">
        <f>配置表!$P330</f>
        <v>テーマ展</v>
      </c>
      <c r="AH62" s="133">
        <f>配置表!$G330</f>
        <v>0.70833333333333337</v>
      </c>
      <c r="AI62" s="18"/>
      <c r="AJ62" s="124">
        <f>配置表!$M397</f>
        <v>46111</v>
      </c>
      <c r="AK62" s="125" t="str">
        <f>配置表!$N397</f>
        <v>月</v>
      </c>
      <c r="AL62" s="125" t="str">
        <f>配置表!$L397</f>
        <v>閉</v>
      </c>
      <c r="AM62" s="126" t="str">
        <f>配置表!$O397</f>
        <v>春　特別展</v>
      </c>
      <c r="AN62" s="127" t="str">
        <f>配置表!$P397</f>
        <v>テーマ展</v>
      </c>
      <c r="AO62" s="133">
        <f>配置表!$G397</f>
        <v>0.70833333333333337</v>
      </c>
    </row>
    <row r="63" spans="1:42">
      <c r="A63" s="124">
        <f>配置表!M68</f>
        <v>45806</v>
      </c>
      <c r="B63" s="125" t="str">
        <f>配置表!N68</f>
        <v>木</v>
      </c>
      <c r="C63" s="125" t="str">
        <f>配置表!L68</f>
        <v/>
      </c>
      <c r="D63" s="126" t="str">
        <f>配置表!O68</f>
        <v/>
      </c>
      <c r="E63" s="127" t="str">
        <f>配置表!P68</f>
        <v>テーマ展</v>
      </c>
      <c r="F63" s="133">
        <f>配置表!G68</f>
        <v>0.70833333333333337</v>
      </c>
      <c r="G63" s="18"/>
      <c r="H63" s="124">
        <f>配置表!$M134</f>
        <v>45867</v>
      </c>
      <c r="I63" s="125" t="str">
        <f>配置表!$N134</f>
        <v>火</v>
      </c>
      <c r="J63" s="125" t="str">
        <f>配置表!$L134</f>
        <v/>
      </c>
      <c r="K63" s="126" t="str">
        <f>配置表!$O134</f>
        <v>夏　特別展</v>
      </c>
      <c r="L63" s="127" t="str">
        <f>配置表!$P134</f>
        <v>テーマ展</v>
      </c>
      <c r="M63" s="133">
        <f>配置表!$G134</f>
        <v>0.70833333333333337</v>
      </c>
      <c r="N63" s="18"/>
      <c r="O63" s="124">
        <f>配置表!$M199</f>
        <v>45928</v>
      </c>
      <c r="P63" s="125" t="str">
        <f>配置表!$N199</f>
        <v>日</v>
      </c>
      <c r="Q63" s="125" t="str">
        <f>配置表!$L199</f>
        <v/>
      </c>
      <c r="R63" s="126" t="str">
        <f>配置表!$O199</f>
        <v>秋　特別展</v>
      </c>
      <c r="S63" s="127" t="str">
        <f>配置表!$P199</f>
        <v>テーマ展</v>
      </c>
      <c r="T63" s="133">
        <f>配置表!$G199</f>
        <v>0.70833333333333337</v>
      </c>
      <c r="U63" s="18"/>
      <c r="V63" s="124">
        <f>配置表!$M265</f>
        <v>45989</v>
      </c>
      <c r="W63" s="125" t="str">
        <f>配置表!$N265</f>
        <v>金</v>
      </c>
      <c r="X63" s="125" t="str">
        <f>配置表!$L265</f>
        <v/>
      </c>
      <c r="Y63" s="126" t="str">
        <f>配置表!$O265</f>
        <v/>
      </c>
      <c r="Z63" s="127" t="str">
        <f>配置表!$P265</f>
        <v>テーマ展</v>
      </c>
      <c r="AA63" s="133">
        <f>配置表!$G265</f>
        <v>0.70833333333333337</v>
      </c>
      <c r="AB63" s="18"/>
      <c r="AC63" s="124">
        <f>配置表!$M331</f>
        <v>46050</v>
      </c>
      <c r="AD63" s="125" t="str">
        <f>配置表!$N331</f>
        <v>水</v>
      </c>
      <c r="AE63" s="125" t="str">
        <f>配置表!$L331</f>
        <v/>
      </c>
      <c r="AF63" s="126" t="str">
        <f>配置表!$O331</f>
        <v>冬　特別展</v>
      </c>
      <c r="AG63" s="127" t="str">
        <f>配置表!$P331</f>
        <v>テーマ展</v>
      </c>
      <c r="AH63" s="133">
        <f>配置表!$G331</f>
        <v>0.70833333333333337</v>
      </c>
      <c r="AI63" s="18"/>
      <c r="AJ63" s="124">
        <f>配置表!$M398</f>
        <v>46112</v>
      </c>
      <c r="AK63" s="125" t="str">
        <f>配置表!$N398</f>
        <v>火</v>
      </c>
      <c r="AL63" s="125" t="str">
        <f>配置表!$L398</f>
        <v/>
      </c>
      <c r="AM63" s="126" t="str">
        <f>配置表!$O398</f>
        <v>春　特別展</v>
      </c>
      <c r="AN63" s="127" t="str">
        <f>配置表!$P398</f>
        <v>テーマ展</v>
      </c>
      <c r="AO63" s="133">
        <f>配置表!$G398</f>
        <v>0.70833333333333337</v>
      </c>
    </row>
    <row r="64" spans="1:42">
      <c r="A64" s="124">
        <f>配置表!M69</f>
        <v>45807</v>
      </c>
      <c r="B64" s="125" t="str">
        <f>配置表!N69</f>
        <v>金</v>
      </c>
      <c r="C64" s="125" t="str">
        <f>配置表!L69</f>
        <v/>
      </c>
      <c r="D64" s="126" t="str">
        <f>配置表!O69</f>
        <v/>
      </c>
      <c r="E64" s="127" t="str">
        <f>配置表!P69</f>
        <v>テーマ展</v>
      </c>
      <c r="F64" s="133">
        <f>配置表!G69</f>
        <v>0.70833333333333337</v>
      </c>
      <c r="G64" s="18"/>
      <c r="H64" s="124">
        <f>配置表!$M135</f>
        <v>45868</v>
      </c>
      <c r="I64" s="125" t="str">
        <f>配置表!$N135</f>
        <v>水</v>
      </c>
      <c r="J64" s="125" t="str">
        <f>配置表!$L135</f>
        <v/>
      </c>
      <c r="K64" s="126" t="str">
        <f>配置表!$O135</f>
        <v>夏　特別展</v>
      </c>
      <c r="L64" s="127" t="str">
        <f>配置表!$P135</f>
        <v>テーマ展</v>
      </c>
      <c r="M64" s="133">
        <f>配置表!$G135</f>
        <v>0.70833333333333337</v>
      </c>
      <c r="N64" s="18"/>
      <c r="O64" s="124">
        <f>配置表!$M200</f>
        <v>45929</v>
      </c>
      <c r="P64" s="125" t="str">
        <f>配置表!$N200</f>
        <v>月</v>
      </c>
      <c r="Q64" s="125" t="str">
        <f>配置表!$L200</f>
        <v>閉</v>
      </c>
      <c r="R64" s="126" t="str">
        <f>配置表!$O200</f>
        <v>秋　特別展</v>
      </c>
      <c r="S64" s="127" t="str">
        <f>配置表!$P200</f>
        <v>テーマ展</v>
      </c>
      <c r="T64" s="133">
        <f>配置表!$G200</f>
        <v>0.70833333333333337</v>
      </c>
      <c r="U64" s="18"/>
      <c r="V64" s="124">
        <f>配置表!$M266</f>
        <v>45990</v>
      </c>
      <c r="W64" s="125" t="str">
        <f>配置表!$N266</f>
        <v>土</v>
      </c>
      <c r="X64" s="125" t="str">
        <f>配置表!$L266</f>
        <v/>
      </c>
      <c r="Y64" s="126" t="str">
        <f>配置表!$O266</f>
        <v/>
      </c>
      <c r="Z64" s="127" t="str">
        <f>配置表!$P266</f>
        <v>テーマ展</v>
      </c>
      <c r="AA64" s="133">
        <f>配置表!$G266</f>
        <v>0.70833333333333337</v>
      </c>
      <c r="AB64" s="18"/>
      <c r="AC64" s="124">
        <f>配置表!$M332</f>
        <v>46051</v>
      </c>
      <c r="AD64" s="125" t="str">
        <f>配置表!$N332</f>
        <v>木</v>
      </c>
      <c r="AE64" s="125" t="str">
        <f>配置表!$L332</f>
        <v/>
      </c>
      <c r="AF64" s="126" t="str">
        <f>配置表!$O332</f>
        <v>冬　特別展</v>
      </c>
      <c r="AG64" s="127" t="str">
        <f>配置表!$P332</f>
        <v>テーマ展</v>
      </c>
      <c r="AH64" s="133">
        <f>配置表!$G332</f>
        <v>0.70833333333333337</v>
      </c>
      <c r="AI64" s="18"/>
      <c r="AJ64" s="124"/>
      <c r="AK64" s="125"/>
      <c r="AL64" s="125"/>
      <c r="AM64" s="126"/>
      <c r="AN64" s="127"/>
      <c r="AO64" s="133"/>
    </row>
    <row r="65" spans="1:41">
      <c r="A65" s="124">
        <f>配置表!M70</f>
        <v>45808</v>
      </c>
      <c r="B65" s="125" t="str">
        <f>配置表!N70</f>
        <v>土</v>
      </c>
      <c r="C65" s="125" t="str">
        <f>配置表!L70</f>
        <v/>
      </c>
      <c r="D65" s="126" t="str">
        <f>配置表!O70</f>
        <v/>
      </c>
      <c r="E65" s="127" t="str">
        <f>配置表!P70</f>
        <v>テーマ展</v>
      </c>
      <c r="F65" s="133">
        <f>配置表!G70</f>
        <v>0.70833333333333337</v>
      </c>
      <c r="G65" s="18"/>
      <c r="H65" s="124">
        <f>配置表!$M136</f>
        <v>45869</v>
      </c>
      <c r="I65" s="125" t="str">
        <f>配置表!$N136</f>
        <v>木</v>
      </c>
      <c r="J65" s="125" t="str">
        <f>配置表!$L136</f>
        <v/>
      </c>
      <c r="K65" s="126" t="str">
        <f>配置表!$O136</f>
        <v>夏　特別展</v>
      </c>
      <c r="L65" s="127" t="str">
        <f>配置表!$P136</f>
        <v>テーマ展</v>
      </c>
      <c r="M65" s="133">
        <f>配置表!$G136</f>
        <v>0.70833333333333337</v>
      </c>
      <c r="N65" s="18"/>
      <c r="O65" s="124">
        <f>配置表!$M201</f>
        <v>45930</v>
      </c>
      <c r="P65" s="125" t="str">
        <f>配置表!$N201</f>
        <v>火</v>
      </c>
      <c r="Q65" s="125" t="str">
        <f>配置表!$L201</f>
        <v/>
      </c>
      <c r="R65" s="126" t="str">
        <f>配置表!$O201</f>
        <v>秋　特別展</v>
      </c>
      <c r="S65" s="127" t="str">
        <f>配置表!$P201</f>
        <v>テーマ展</v>
      </c>
      <c r="T65" s="133">
        <f>配置表!$G201</f>
        <v>0.70833333333333337</v>
      </c>
      <c r="U65" s="18"/>
      <c r="V65" s="124">
        <f>配置表!$M267</f>
        <v>45991</v>
      </c>
      <c r="W65" s="125" t="str">
        <f>配置表!$N267</f>
        <v>日</v>
      </c>
      <c r="X65" s="125" t="str">
        <f>配置表!$L267</f>
        <v/>
      </c>
      <c r="Y65" s="126" t="str">
        <f>配置表!$O267</f>
        <v/>
      </c>
      <c r="Z65" s="127" t="str">
        <f>配置表!$P267</f>
        <v>テーマ展</v>
      </c>
      <c r="AA65" s="133">
        <f>配置表!$G267</f>
        <v>0.70833333333333337</v>
      </c>
      <c r="AB65" s="18"/>
      <c r="AC65" s="124">
        <f>配置表!$M333</f>
        <v>46052</v>
      </c>
      <c r="AD65" s="125" t="str">
        <f>配置表!$N333</f>
        <v>金</v>
      </c>
      <c r="AE65" s="125" t="str">
        <f>配置表!$L333</f>
        <v/>
      </c>
      <c r="AF65" s="126" t="str">
        <f>配置表!$O333</f>
        <v>冬　特別展</v>
      </c>
      <c r="AG65" s="127" t="str">
        <f>配置表!$P333</f>
        <v>テーマ展</v>
      </c>
      <c r="AH65" s="133">
        <f>配置表!$G333</f>
        <v>0.70833333333333337</v>
      </c>
      <c r="AI65" s="18"/>
      <c r="AJ65" s="124"/>
      <c r="AK65" s="125"/>
      <c r="AL65" s="125"/>
      <c r="AM65" s="126"/>
      <c r="AN65" s="127"/>
      <c r="AO65" s="133"/>
    </row>
    <row r="66" spans="1:41" ht="12" thickBot="1">
      <c r="A66" s="128"/>
      <c r="B66" s="129"/>
      <c r="C66" s="129"/>
      <c r="D66" s="129"/>
      <c r="E66" s="129"/>
      <c r="F66" s="130"/>
      <c r="H66" s="128"/>
      <c r="I66" s="129"/>
      <c r="J66" s="129"/>
      <c r="K66" s="129"/>
      <c r="L66" s="129"/>
      <c r="M66" s="130"/>
      <c r="O66" s="128"/>
      <c r="P66" s="129"/>
      <c r="Q66" s="129"/>
      <c r="R66" s="129"/>
      <c r="S66" s="129"/>
      <c r="T66" s="130"/>
      <c r="V66" s="128"/>
      <c r="W66" s="129"/>
      <c r="X66" s="129"/>
      <c r="Y66" s="129"/>
      <c r="Z66" s="129"/>
      <c r="AA66" s="130"/>
      <c r="AC66" s="143">
        <f>配置表!$M334</f>
        <v>46053</v>
      </c>
      <c r="AD66" s="144" t="str">
        <f>配置表!$N334</f>
        <v>土</v>
      </c>
      <c r="AE66" s="144" t="str">
        <f>配置表!$L334</f>
        <v/>
      </c>
      <c r="AF66" s="145" t="str">
        <f>配置表!$O334</f>
        <v>冬　特別展</v>
      </c>
      <c r="AG66" s="146" t="str">
        <f>配置表!$P334</f>
        <v>テーマ展</v>
      </c>
      <c r="AH66" s="147">
        <f>配置表!$G334</f>
        <v>0.70833333333333337</v>
      </c>
      <c r="AJ66" s="143"/>
      <c r="AK66" s="144"/>
      <c r="AL66" s="144"/>
      <c r="AM66" s="145"/>
      <c r="AN66" s="146"/>
      <c r="AO66" s="147"/>
    </row>
  </sheetData>
  <mergeCells count="1">
    <mergeCell ref="A1:AO1"/>
  </mergeCells>
  <phoneticPr fontId="1"/>
  <conditionalFormatting sqref="A4:F65">
    <cfRule type="expression" dxfId="13" priority="5" stopIfTrue="1">
      <formula>$C4="閉"</formula>
    </cfRule>
  </conditionalFormatting>
  <conditionalFormatting sqref="H4:M65">
    <cfRule type="expression" dxfId="12" priority="6" stopIfTrue="1">
      <formula>$J4="閉"</formula>
    </cfRule>
  </conditionalFormatting>
  <conditionalFormatting sqref="O4:T65">
    <cfRule type="expression" dxfId="11" priority="7" stopIfTrue="1">
      <formula>$Q4="閉"</formula>
    </cfRule>
  </conditionalFormatting>
  <conditionalFormatting sqref="V4:AA65">
    <cfRule type="expression" dxfId="10" priority="8" stopIfTrue="1">
      <formula>$X4="閉"</formula>
    </cfRule>
  </conditionalFormatting>
  <conditionalFormatting sqref="AC4:AH65">
    <cfRule type="expression" dxfId="9" priority="9" stopIfTrue="1">
      <formula>$AE4="閉"</formula>
    </cfRule>
  </conditionalFormatting>
  <conditionalFormatting sqref="AJ4:AO65">
    <cfRule type="expression" dxfId="8" priority="10" stopIfTrue="1">
      <formula>$AL4="閉"</formula>
    </cfRule>
  </conditionalFormatting>
  <conditionalFormatting sqref="AC66">
    <cfRule type="expression" dxfId="7" priority="4" stopIfTrue="1">
      <formula>$AE66="閉"</formula>
    </cfRule>
  </conditionalFormatting>
  <conditionalFormatting sqref="AD66:AH66">
    <cfRule type="expression" dxfId="6" priority="3" stopIfTrue="1">
      <formula>$AE66="閉"</formula>
    </cfRule>
  </conditionalFormatting>
  <conditionalFormatting sqref="AJ66:AO66">
    <cfRule type="expression" dxfId="5" priority="1" stopIfTrue="1">
      <formula>$AL66="閉"</formula>
    </cfRule>
  </conditionalFormatting>
  <printOptions horizontalCentered="1" verticalCentered="1"/>
  <pageMargins left="0.39370078740157483" right="0.39370078740157483" top="0.59055118110236227" bottom="0.39370078740157483" header="0.51181102362204722" footer="0"/>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A1:AD428"/>
  <sheetViews>
    <sheetView view="pageBreakPreview" topLeftCell="E1" zoomScale="110" zoomScaleNormal="100" zoomScaleSheetLayoutView="110" workbookViewId="0">
      <pane ySplit="6" topLeftCell="A364" activePane="bottomLeft" state="frozen"/>
      <selection pane="bottomLeft" activeCell="AF4" sqref="AF4"/>
    </sheetView>
  </sheetViews>
  <sheetFormatPr defaultColWidth="9" defaultRowHeight="11.25"/>
  <cols>
    <col min="1" max="1" width="3.375" style="1" customWidth="1"/>
    <col min="2" max="2" width="5.25" style="1" bestFit="1" customWidth="1"/>
    <col min="3" max="3" width="3.125" style="1" customWidth="1"/>
    <col min="4" max="4" width="5.25" style="1" bestFit="1" customWidth="1"/>
    <col min="5" max="5" width="5.625" style="1" customWidth="1"/>
    <col min="6" max="6" width="3" style="1" customWidth="1"/>
    <col min="7" max="7" width="5.25" style="1" customWidth="1"/>
    <col min="8" max="8" width="2.5" style="1" customWidth="1"/>
    <col min="9" max="11" width="2.75" style="1" customWidth="1"/>
    <col min="12" max="12" width="2.5" style="1" customWidth="1"/>
    <col min="13" max="13" width="5.875" style="3" customWidth="1"/>
    <col min="14" max="14" width="3" style="2" bestFit="1" customWidth="1"/>
    <col min="15" max="15" width="6" style="12" bestFit="1" customWidth="1"/>
    <col min="16" max="16" width="7.375" style="1" bestFit="1" customWidth="1"/>
    <col min="17" max="17" width="6.5" style="2" customWidth="1"/>
    <col min="18" max="18" width="2.5" style="2" customWidth="1"/>
    <col min="19" max="19" width="6.5" style="2" customWidth="1"/>
    <col min="20" max="20" width="2.5" style="2" customWidth="1"/>
    <col min="21" max="21" width="6.5" style="2" customWidth="1"/>
    <col min="22" max="22" width="2.5" style="1" customWidth="1"/>
    <col min="23" max="23" width="6.5" style="2" customWidth="1"/>
    <col min="24" max="24" width="2.5" style="1" customWidth="1"/>
    <col min="25" max="25" width="6.5" style="1" customWidth="1"/>
    <col min="26" max="26" width="4.5" style="1" customWidth="1"/>
    <col min="27" max="27" width="6.5" style="3" customWidth="1"/>
    <col min="28" max="29" width="5" style="1" customWidth="1"/>
    <col min="30" max="30" width="10.625" style="1" customWidth="1"/>
    <col min="31" max="31" width="4.625" style="1" bestFit="1" customWidth="1"/>
    <col min="32" max="32" width="3" style="1" bestFit="1" customWidth="1"/>
    <col min="33" max="33" width="3" style="1" customWidth="1"/>
    <col min="34" max="35" width="4.625" style="1" bestFit="1" customWidth="1"/>
    <col min="36" max="36" width="3" style="1" bestFit="1" customWidth="1"/>
    <col min="37" max="37" width="3" style="1" customWidth="1"/>
    <col min="38" max="38" width="4.625" style="1" bestFit="1" customWidth="1"/>
    <col min="39" max="16384" width="9" style="1"/>
  </cols>
  <sheetData>
    <row r="1" spans="1:30" ht="15" customHeight="1">
      <c r="AB1" s="135"/>
      <c r="AD1" s="3" t="s">
        <v>59</v>
      </c>
    </row>
    <row r="2" spans="1:30" ht="20.45" customHeight="1">
      <c r="L2" s="357" t="s">
        <v>140</v>
      </c>
      <c r="M2" s="357"/>
      <c r="N2" s="357"/>
      <c r="O2" s="357"/>
      <c r="P2" s="357"/>
      <c r="Q2" s="357"/>
      <c r="R2" s="357"/>
      <c r="S2" s="357"/>
      <c r="T2" s="357"/>
      <c r="U2" s="357"/>
      <c r="V2" s="357"/>
      <c r="W2" s="357"/>
      <c r="X2" s="357"/>
      <c r="Y2" s="357"/>
      <c r="Z2" s="357"/>
      <c r="AA2" s="357"/>
      <c r="AB2" s="357"/>
      <c r="AC2" s="18"/>
    </row>
    <row r="3" spans="1:30" ht="36" customHeight="1">
      <c r="L3" s="78"/>
      <c r="M3" s="370" t="s">
        <v>132</v>
      </c>
      <c r="N3" s="370"/>
      <c r="O3" s="370"/>
      <c r="P3" s="370"/>
      <c r="Q3" s="370"/>
      <c r="R3" s="370"/>
      <c r="S3" s="370"/>
      <c r="T3" s="241"/>
      <c r="U3" s="241"/>
      <c r="V3" s="366" t="s">
        <v>149</v>
      </c>
      <c r="W3" s="366"/>
      <c r="X3" s="366"/>
      <c r="Y3" s="366"/>
      <c r="Z3" s="366"/>
      <c r="AA3" s="366"/>
      <c r="AB3" s="366"/>
      <c r="AC3" s="367"/>
      <c r="AD3" s="367"/>
    </row>
    <row r="4" spans="1:30" ht="38.1" customHeight="1">
      <c r="L4" s="78"/>
      <c r="M4" s="361" t="s">
        <v>145</v>
      </c>
      <c r="N4" s="361"/>
      <c r="O4" s="361"/>
      <c r="P4" s="361"/>
      <c r="Q4" s="361"/>
      <c r="R4" s="361"/>
      <c r="S4" s="361"/>
      <c r="T4" s="361"/>
      <c r="U4" s="361"/>
      <c r="V4" s="368" t="s">
        <v>143</v>
      </c>
      <c r="W4" s="368"/>
      <c r="X4" s="368"/>
      <c r="Y4" s="368"/>
      <c r="Z4" s="368"/>
      <c r="AA4" s="368"/>
      <c r="AB4" s="368"/>
      <c r="AC4" s="369"/>
      <c r="AD4" s="369"/>
    </row>
    <row r="5" spans="1:30" ht="39.75" customHeight="1" thickBot="1">
      <c r="A5" s="349" t="s">
        <v>103</v>
      </c>
      <c r="B5" s="349" t="s">
        <v>101</v>
      </c>
      <c r="C5" s="353" t="s">
        <v>99</v>
      </c>
      <c r="D5" s="349" t="s">
        <v>102</v>
      </c>
      <c r="E5" s="349" t="s">
        <v>119</v>
      </c>
      <c r="F5" s="351" t="s">
        <v>100</v>
      </c>
      <c r="G5" s="349" t="s">
        <v>118</v>
      </c>
      <c r="H5" s="353" t="s">
        <v>100</v>
      </c>
      <c r="L5" s="78"/>
      <c r="M5" s="358" t="s">
        <v>144</v>
      </c>
      <c r="N5" s="359"/>
      <c r="O5" s="359"/>
      <c r="P5" s="359"/>
      <c r="Q5" s="359"/>
      <c r="R5" s="359"/>
      <c r="S5" s="359"/>
      <c r="T5" s="360"/>
      <c r="U5" s="360"/>
      <c r="V5" s="368" t="s">
        <v>151</v>
      </c>
      <c r="W5" s="368"/>
      <c r="X5" s="368"/>
      <c r="Y5" s="368"/>
      <c r="Z5" s="368"/>
      <c r="AA5" s="368"/>
      <c r="AB5" s="368"/>
      <c r="AC5" s="369"/>
      <c r="AD5" s="369"/>
    </row>
    <row r="6" spans="1:30" customFormat="1" ht="27.75" customHeight="1" thickBot="1">
      <c r="A6" s="350"/>
      <c r="B6" s="350"/>
      <c r="C6" s="350"/>
      <c r="D6" s="350"/>
      <c r="E6" s="350"/>
      <c r="F6" s="352"/>
      <c r="G6" s="350"/>
      <c r="H6" s="350"/>
      <c r="I6" s="56" t="s">
        <v>20</v>
      </c>
      <c r="J6" s="56" t="s">
        <v>34</v>
      </c>
      <c r="K6" s="56" t="s">
        <v>35</v>
      </c>
      <c r="L6" s="31"/>
      <c r="M6" s="14"/>
      <c r="N6" s="15"/>
      <c r="O6" s="16" t="s">
        <v>5</v>
      </c>
      <c r="P6" s="17" t="s">
        <v>6</v>
      </c>
      <c r="Q6" s="38" t="s">
        <v>8</v>
      </c>
      <c r="R6" s="364" t="s">
        <v>13</v>
      </c>
      <c r="S6" s="365"/>
      <c r="T6" s="364" t="s">
        <v>14</v>
      </c>
      <c r="U6" s="365"/>
      <c r="V6" s="364" t="s">
        <v>9</v>
      </c>
      <c r="W6" s="365"/>
      <c r="X6" s="364" t="s">
        <v>10</v>
      </c>
      <c r="Y6" s="365"/>
      <c r="Z6" s="364" t="s">
        <v>1</v>
      </c>
      <c r="AA6" s="365"/>
      <c r="AB6" s="38" t="s">
        <v>114</v>
      </c>
      <c r="AC6" s="38" t="s">
        <v>115</v>
      </c>
      <c r="AD6" s="38" t="s">
        <v>116</v>
      </c>
    </row>
    <row r="7" spans="1:30">
      <c r="A7" s="1">
        <f>IF(AND(M7&gt;=VLOOKUP(M7,データ!$K$3:$O$6,1,TRUE),M7&lt;=VLOOKUP(M7,データ!$K$3:$O$6,2,TRUE)),VLOOKUP(M7,データ!$K$3:$O$6,5,TRUE),"")</f>
        <v>1</v>
      </c>
      <c r="B7" s="74">
        <f>IF(AND(M7&gt;=VLOOKUP(M7,データ!$K$3:$O$6,1,TRUE),M7&lt;=VLOOKUP(M7,データ!$K$3:$O$6,2,TRUE)),VLOOKUP(M7,データ!$K$3:$O$6,3,TRUE),"")</f>
        <v>0.41666666666666669</v>
      </c>
      <c r="C7" s="1">
        <f>IF(AND(M7&gt;=VLOOKUP(M7,データ!$K$11:$O$16,1,TRUE),M7&lt;=VLOOKUP(M7,データ!$K$11:$O$16,2,TRUE)),VLOOKUP(M7,データ!$K$11:$O$16,5,TRUE),0)</f>
        <v>0</v>
      </c>
      <c r="D7" s="74"/>
      <c r="E7" s="74">
        <f>IF(C7=2,IF(OR(N7="土",N7="日"),D7,B7),IF(C7=1,D7,B7))</f>
        <v>0.41666666666666669</v>
      </c>
      <c r="F7" s="75">
        <f>VLOOKUP(E7,データ!$K$20:$O$24,5,FALSE)</f>
        <v>0</v>
      </c>
      <c r="G7" s="74">
        <f>IF(AND(M7&gt;=VLOOKUP(M7,データ!$K$3:$O$6,1,TRUE),M7&lt;=VLOOKUP(M7,データ!$K$3:$O$6,2,TRUE)),VLOOKUP(M7,データ!$K$3:$O$6,4,TRUE),"")</f>
        <v>0.70833333333333337</v>
      </c>
      <c r="H7" s="259">
        <f>INDEX(データ!L$21:N$24,MATCH(配置表!E7,データ!K$21:K$24,0),MATCH(配置表!G7,データ!L$20:N$20,0))</f>
        <v>1</v>
      </c>
      <c r="I7" s="52" t="str">
        <f>IF(ISERROR(VLOOKUP(M7,データ!$A$3:$C$20,3,FALSE)),"",VLOOKUP(M7,データ!$A$3:$C$20,3,FALSE))</f>
        <v/>
      </c>
      <c r="J7" s="52" t="str">
        <f>IF(N7="月",1,"")</f>
        <v/>
      </c>
      <c r="K7" s="136">
        <f>IF(K6=2,IF(I7=1,2,1),IF(I7=1,IF(J7=1,2,0),IF(J7=1,1,0)))</f>
        <v>0</v>
      </c>
      <c r="L7" s="28" t="str">
        <f t="shared" ref="L7:L36" si="0">IF(AND(O7="",P7=""),"閉",IF(K7=1,"閉",""))</f>
        <v/>
      </c>
      <c r="M7" s="9">
        <f>データ!A26</f>
        <v>45748</v>
      </c>
      <c r="N7" s="10" t="str">
        <f>TEXT(WEEKDAY(M7,1),"aaa")</f>
        <v>火</v>
      </c>
      <c r="O7" s="62" t="str">
        <f>IF(AND(M7&gt;=VLOOKUP(M7,データ!$E$3:$G$9,1,TRUE),M7&lt;=VLOOKUP(M7,データ!$E$3:$G$9,2,TRUE)),VLOOKUP(M7,データ!$E$3:$G$9,3,TRUE),"")</f>
        <v>春　特別展</v>
      </c>
      <c r="P7" s="63" t="str">
        <f>IF(AND(M7&gt;=VLOOKUP(M7,データ!$E$14:$G$21,1,TRUE),M7&lt;=VLOOKUP(M7,データ!$E$14:$G$21,2,TRUE)),VLOOKUP(M7,データ!$E$14:$G$21,3,TRUE),"")</f>
        <v>テーマ展</v>
      </c>
      <c r="Q7" s="44" t="str">
        <f>IF(L7="閉","休","○")</f>
        <v>○</v>
      </c>
      <c r="R7" s="45"/>
      <c r="S7" s="33" t="str">
        <f>IF(H7="閉","休",IF(K7="","",IF(OR(J7="土",J7="日",E7=1),IF(OR(K7="ダミー　特別展",K7="ダミー　特別展"),"◎",IF(OR(K7="夏　特別展",K7="秋　特別展",K7="春　特別展"),"○","")),"")))</f>
        <v/>
      </c>
      <c r="T7" s="46"/>
      <c r="U7" s="47" t="str">
        <f>IF(L7="閉","休",IF(S7="","●","●"))</f>
        <v>●</v>
      </c>
      <c r="V7" s="32"/>
      <c r="W7" s="10" t="str">
        <f>IF(P7="閉","休",IF(O7="","",IF(O7="冬　特別展",IF(OR(N7="土",N7="日",M7=1),"○",""),"○")))</f>
        <v>○</v>
      </c>
      <c r="X7" s="32"/>
      <c r="Y7" s="33" t="str">
        <f>IF(L7="閉","休",IF(H7=1,"○",IF(H7=2,"●","Err")))</f>
        <v>○</v>
      </c>
      <c r="Z7" s="32">
        <f>IF(L7="閉","",(IF(AND(M7&gt;=VLOOKUP(M7,データ!$E$3:$G$9,1,TRUE),M7&lt;=VLOOKUP(M7,データ!$E$3:$G$9,2,TRUE)),VLOOKUP(M7,データ!$E$3:$H$9,4,TRUE),0)+IF(AND(M7&gt;=VLOOKUP(M7,データ!$E$14:$G$21,1,TRUE),M7&lt;=VLOOKUP(M7,データ!$E$14:$G$21,2,TRUE)),VLOOKUP(M7,データ!$E$14:$H$21,4,TRUE),0)))</f>
        <v>5</v>
      </c>
      <c r="AA7" s="33" t="str">
        <f>IF(L7="閉","休",IF(O7="","△",IF(H7=1,"○",IF(H7=2,"●","Err"))))</f>
        <v>○</v>
      </c>
      <c r="AB7" s="227">
        <f t="shared" ref="AB7" si="1">IF(K7=1,"",E7)</f>
        <v>0.41666666666666669</v>
      </c>
      <c r="AC7" s="227">
        <f>IF(K7=1,"",G7)</f>
        <v>0.70833333333333337</v>
      </c>
      <c r="AD7" s="226" t="str">
        <f>IF(K7=1,IF(ISERROR(VLOOKUP(M7,データ!$A$3:$C$23,2,FALSE)),"",VLOOKUP(M7,データ!$A$3:$C$23,2,FALSE)),(IF(ISERROR(VLOOKUP(M7,データ!$A$3:$C$23,2,FALSE)),"",VLOOKUP(M7,データ!$A$3:$C$23,2,FALSE))))</f>
        <v/>
      </c>
    </row>
    <row r="8" spans="1:30">
      <c r="A8" s="1">
        <f>IF(AND(M8&gt;=VLOOKUP(M8,データ!$K$3:$O$6,1,TRUE),M8&lt;=VLOOKUP(M8,データ!$K$3:$O$6,2,TRUE)),VLOOKUP(M8,データ!$K$3:$O$6,5,TRUE),"")</f>
        <v>1</v>
      </c>
      <c r="B8" s="74">
        <f>IF(AND(M8&gt;=VLOOKUP(M8,データ!$K$3:$O$6,1,TRUE),M8&lt;=VLOOKUP(M8,データ!$K$3:$O$6,2,TRUE)),VLOOKUP(M8,データ!$K$3:$O$6,3,TRUE),"")</f>
        <v>0.41666666666666669</v>
      </c>
      <c r="C8" s="1">
        <f>IF(AND(M8&gt;=VLOOKUP(M8,データ!$K$11:$O$16,1,TRUE),M8&lt;=VLOOKUP(M8,データ!$K$11:$O$16,2,TRUE)),VLOOKUP(M8,データ!$K$11:$O$16,5,TRUE),0)</f>
        <v>0</v>
      </c>
      <c r="D8" s="74" t="str">
        <f>IF(AND(M8&gt;=VLOOKUP(M8,データ!$K$11:$O$16,1,TRUE),M8&lt;=VLOOKUP(M8,データ!$K$11:$O$16,2,TRUE)),VLOOKUP(M8,データ!$K$11:$O$16,3,TRUE),"")</f>
        <v/>
      </c>
      <c r="E8" s="74">
        <f t="shared" ref="E8:E36" si="2">IF(C8=2,IF(OR(N8="土",N8="日"),D8,B8),IF(C8=1,D8,B8))</f>
        <v>0.41666666666666669</v>
      </c>
      <c r="F8" s="75">
        <f>VLOOKUP(E8,データ!$K$20:$O$24,5,FALSE)</f>
        <v>0</v>
      </c>
      <c r="G8" s="74">
        <f>IF(AND(M8&gt;=VLOOKUP(M8,データ!$K$3:$O$6,1,TRUE),M8&lt;=VLOOKUP(M8,データ!$K$3:$O$6,2,TRUE)),VLOOKUP(M8,データ!$K$3:$O$6,4,TRUE),"")</f>
        <v>0.70833333333333337</v>
      </c>
      <c r="H8" s="256">
        <f>INDEX(データ!L$21:N$24,MATCH(配置表!E8,データ!K$21:K$24,0),MATCH(配置表!G8,データ!L$20:N$20,0))</f>
        <v>1</v>
      </c>
      <c r="I8" s="52" t="str">
        <f>IF(ISERROR(VLOOKUP(M8,データ!$A$3:$C$20,3,FALSE)),"",VLOOKUP(M8,データ!$A$3:$C$20,3,FALSE))</f>
        <v/>
      </c>
      <c r="J8" s="52" t="str">
        <f t="shared" ref="J8:J36" si="3">IF(N8="月",1,"")</f>
        <v/>
      </c>
      <c r="K8" s="53">
        <f>IF(K7=2,IF(I8=1,2,1),IF(I8=1,IF(J8=1,2,0),IF(J8=1,1,0)))</f>
        <v>0</v>
      </c>
      <c r="L8" s="28" t="str">
        <f t="shared" si="0"/>
        <v/>
      </c>
      <c r="M8" s="9">
        <f>M7+1</f>
        <v>45749</v>
      </c>
      <c r="N8" s="10" t="str">
        <f t="shared" ref="N8:N36" si="4">TEXT(WEEKDAY(M8,1),"aaa")</f>
        <v>水</v>
      </c>
      <c r="O8" s="62" t="str">
        <f>IF(AND(M8&gt;=VLOOKUP(M8,データ!$E$3:$G$9,1,TRUE),M8&lt;=VLOOKUP(M8,データ!$E$3:$G$9,2,TRUE)),VLOOKUP(M8,データ!$E$3:$G$9,3,TRUE),"")</f>
        <v>春　特別展</v>
      </c>
      <c r="P8" s="63" t="str">
        <f>IF(AND(M8&gt;=VLOOKUP(M8,データ!$E$14:$G$21,1,TRUE),M8&lt;=VLOOKUP(M8,データ!$E$14:$G$21,2,TRUE)),VLOOKUP(M8,データ!$E$14:$G$21,3,TRUE),"")</f>
        <v>テーマ展</v>
      </c>
      <c r="Q8" s="44" t="str">
        <f t="shared" ref="Q8:Q36" si="5">IF(L8="閉","休","○")</f>
        <v>○</v>
      </c>
      <c r="R8" s="45"/>
      <c r="S8" s="33" t="str">
        <f t="shared" ref="S8:S10" si="6">IF(H8="閉","休",IF(K8="","",IF(OR(J8="土",J8="日",E8=1),IF(OR(K8="ダミー　特別展",K8="ダミー　特別展"),"◎",IF(OR(K8="夏　特別展",K8="秋　特別展",K8="春　特別展"),"○","")),"")))</f>
        <v/>
      </c>
      <c r="T8" s="45"/>
      <c r="U8" s="33" t="str">
        <f t="shared" ref="U8:U34" si="7">IF(L8="閉","休",IF(S8="","●","●"))</f>
        <v>●</v>
      </c>
      <c r="V8" s="32"/>
      <c r="W8" s="10" t="str">
        <f t="shared" ref="W8:W10" si="8">IF(P8="閉","休",IF(O8="","",IF(O8="冬　特別展",IF(OR(N8="土",N8="日",M8=1),"○",""),"○")))</f>
        <v>○</v>
      </c>
      <c r="X8" s="32"/>
      <c r="Y8" s="33" t="str">
        <f t="shared" ref="Y8:Y36" si="9">IF(L8="閉","休",IF(H8=1,"○",IF(H8=2,"●","Err")))</f>
        <v>○</v>
      </c>
      <c r="Z8" s="32">
        <f>IF(L8="閉","",(IF(AND(M8&gt;=VLOOKUP(M8,データ!$E$3:$G$9,1,TRUE),M8&lt;=VLOOKUP(M8,データ!$E$3:$G$9,2,TRUE)),VLOOKUP(M8,データ!$E$3:$H$9,4,TRUE),0)+IF(AND(M8&gt;=VLOOKUP(M8,データ!$E$14:$G$21,1,TRUE),M8&lt;=VLOOKUP(M8,データ!$E$14:$G$21,2,TRUE)),VLOOKUP(M8,データ!$E$14:$H$21,4,TRUE),0)))</f>
        <v>5</v>
      </c>
      <c r="AA8" s="33" t="str">
        <f t="shared" ref="AA8:AA36" si="10">IF(L8="閉","休",IF(O8="","△",IF(H8=1,"○",IF(H8=2,"●","Err"))))</f>
        <v>○</v>
      </c>
      <c r="AB8" s="227">
        <f t="shared" ref="AB8:AB36" si="11">IF(K8=1,"",E8)</f>
        <v>0.41666666666666669</v>
      </c>
      <c r="AC8" s="227">
        <f>IF(K8=1,"",G8)</f>
        <v>0.70833333333333337</v>
      </c>
      <c r="AD8" s="228" t="str">
        <f>IF(K8=1,IF(ISERROR(VLOOKUP(M8,データ!$A$3:$C$23,2,FALSE)),"",VLOOKUP(M8,データ!$A$3:$C$23,2,FALSE)),(IF(ISERROR(VLOOKUP(M8,データ!$A$3:$C$23,2,FALSE)),"",VLOOKUP(M8,データ!V3,2,FALSE))))</f>
        <v/>
      </c>
    </row>
    <row r="9" spans="1:30">
      <c r="A9" s="1">
        <f>IF(AND(M9&gt;=VLOOKUP(M9,データ!$K$3:$O$6,1,TRUE),M9&lt;=VLOOKUP(M9,データ!$K$3:$O$6,2,TRUE)),VLOOKUP(M9,データ!$K$3:$O$6,5,TRUE),"")</f>
        <v>1</v>
      </c>
      <c r="B9" s="74">
        <f>IF(AND(M9&gt;=VLOOKUP(M9,データ!$K$3:$O$6,1,TRUE),M9&lt;=VLOOKUP(M9,データ!$K$3:$O$6,2,TRUE)),VLOOKUP(M9,データ!$K$3:$O$6,3,TRUE),"")</f>
        <v>0.41666666666666669</v>
      </c>
      <c r="C9" s="1">
        <f>IF(AND(M9&gt;=VLOOKUP(M9,データ!$K$11:$O$16,1,TRUE),M9&lt;=VLOOKUP(M9,データ!$K$11:$O$16,2,TRUE)),VLOOKUP(M9,データ!$K$11:$O$16,5,TRUE),0)</f>
        <v>0</v>
      </c>
      <c r="D9" s="74" t="str">
        <f>IF(AND(M9&gt;=VLOOKUP(M9,データ!$K$11:$O$16,1,TRUE),M9&lt;=VLOOKUP(M9,データ!$K$11:$O$16,2,TRUE)),VLOOKUP(M9,データ!$K$11:$O$16,3,TRUE),"")</f>
        <v/>
      </c>
      <c r="E9" s="74">
        <f t="shared" si="2"/>
        <v>0.41666666666666669</v>
      </c>
      <c r="F9" s="75">
        <f>VLOOKUP(E9,データ!$K$20:$O$24,5,FALSE)</f>
        <v>0</v>
      </c>
      <c r="G9" s="74">
        <f>IF(AND(M9&gt;=VLOOKUP(M9,データ!$K$3:$O$6,1,TRUE),M9&lt;=VLOOKUP(M9,データ!$K$3:$O$6,2,TRUE)),VLOOKUP(M9,データ!$K$3:$O$6,4,TRUE),"")</f>
        <v>0.70833333333333337</v>
      </c>
      <c r="H9" s="256">
        <f>INDEX(データ!L$21:N$24,MATCH(配置表!E9,データ!K$21:K$24,0),MATCH(配置表!G9,データ!L$20:N$20,0))</f>
        <v>1</v>
      </c>
      <c r="I9" s="52" t="str">
        <f>IF(ISERROR(VLOOKUP(M9,データ!$A$3:$C$20,3,FALSE)),"",VLOOKUP(M9,データ!$A$3:$C$20,3,FALSE))</f>
        <v/>
      </c>
      <c r="J9" s="52" t="str">
        <f t="shared" si="3"/>
        <v/>
      </c>
      <c r="K9" s="53">
        <f t="shared" ref="K9:K36" si="12">IF(K8=2,IF(I9=1,2,1),IF(I9=1,IF(J9=1,2,0),IF(J9=1,1,0)))</f>
        <v>0</v>
      </c>
      <c r="L9" s="28" t="str">
        <f t="shared" si="0"/>
        <v/>
      </c>
      <c r="M9" s="9">
        <f t="shared" ref="M9:M36" si="13">M8+1</f>
        <v>45750</v>
      </c>
      <c r="N9" s="10" t="str">
        <f t="shared" si="4"/>
        <v>木</v>
      </c>
      <c r="O9" s="62" t="str">
        <f>IF(AND(M9&gt;=VLOOKUP(M9,データ!$E$3:$G$9,1,TRUE),M9&lt;=VLOOKUP(M9,データ!$E$3:$G$9,2,TRUE)),VLOOKUP(M9,データ!$E$3:$G$9,3,TRUE),"")</f>
        <v>春　特別展</v>
      </c>
      <c r="P9" s="63" t="str">
        <f>IF(AND(M9&gt;=VLOOKUP(M9,データ!$E$14:$G$21,1,TRUE),M9&lt;=VLOOKUP(M9,データ!$E$14:$G$21,2,TRUE)),VLOOKUP(M9,データ!$E$14:$G$21,3,TRUE),"")</f>
        <v>テーマ展</v>
      </c>
      <c r="Q9" s="44" t="str">
        <f t="shared" si="5"/>
        <v>○</v>
      </c>
      <c r="R9" s="45"/>
      <c r="S9" s="33" t="str">
        <f t="shared" si="6"/>
        <v/>
      </c>
      <c r="T9" s="45"/>
      <c r="U9" s="33" t="str">
        <f t="shared" si="7"/>
        <v>●</v>
      </c>
      <c r="V9" s="32"/>
      <c r="W9" s="10" t="str">
        <f t="shared" si="8"/>
        <v>○</v>
      </c>
      <c r="X9" s="32"/>
      <c r="Y9" s="33" t="str">
        <f t="shared" si="9"/>
        <v>○</v>
      </c>
      <c r="Z9" s="32">
        <f>IF(L9="閉","",(IF(AND(M9&gt;=VLOOKUP(M9,データ!$E$3:$G$9,1,TRUE),M9&lt;=VLOOKUP(M9,データ!$E$3:$G$9,2,TRUE)),VLOOKUP(M9,データ!$E$3:$H$9,4,TRUE),0)+IF(AND(M9&gt;=VLOOKUP(M9,データ!$E$14:$G$21,1,TRUE),M9&lt;=VLOOKUP(M9,データ!$E$14:$G$21,2,TRUE)),VLOOKUP(M9,データ!$E$14:$H$21,4,TRUE),0)))</f>
        <v>5</v>
      </c>
      <c r="AA9" s="33" t="str">
        <f t="shared" si="10"/>
        <v>○</v>
      </c>
      <c r="AB9" s="227">
        <f t="shared" si="11"/>
        <v>0.41666666666666669</v>
      </c>
      <c r="AC9" s="227">
        <f t="shared" ref="AC9:AC36" si="14">IF(K9=1,"",G9)</f>
        <v>0.70833333333333337</v>
      </c>
      <c r="AD9" s="228" t="str">
        <f>IF(K9=1,IF(ISERROR(VLOOKUP(M9,データ!$A$3:$C$23,2,FALSE)),"",VLOOKUP(M9,データ!$A$3:$C$23,2,FALSE)),(IF(ISERROR(VLOOKUP(M9,データ!$A$3:$C$23,2,FALSE)),"",VLOOKUP(M9,データ!$A$3:$C$23,2,FALSE))))</f>
        <v/>
      </c>
    </row>
    <row r="10" spans="1:30">
      <c r="A10" s="1">
        <f>IF(AND(M10&gt;=VLOOKUP(M10,データ!$K$3:$O$6,1,TRUE),M10&lt;=VLOOKUP(M10,データ!$K$3:$O$6,2,TRUE)),VLOOKUP(M10,データ!$K$3:$O$6,5,TRUE),"")</f>
        <v>1</v>
      </c>
      <c r="B10" s="74">
        <f>IF(AND(M10&gt;=VLOOKUP(M10,データ!$K$3:$O$6,1,TRUE),M10&lt;=VLOOKUP(M10,データ!$K$3:$O$6,2,TRUE)),VLOOKUP(M10,データ!$K$3:$O$6,3,TRUE),"")</f>
        <v>0.41666666666666669</v>
      </c>
      <c r="C10" s="1">
        <f>IF(AND(M10&gt;=VLOOKUP(M10,データ!$K$11:$O$16,1,TRUE),M10&lt;=VLOOKUP(M10,データ!$K$11:$O$16,2,TRUE)),VLOOKUP(M10,データ!$K$11:$O$16,5,TRUE),0)</f>
        <v>0</v>
      </c>
      <c r="D10" s="74" t="str">
        <f>IF(AND(M10&gt;=VLOOKUP(M10,データ!$K$11:$O$16,1,TRUE),M10&lt;=VLOOKUP(M10,データ!$K$11:$O$16,2,TRUE)),VLOOKUP(M10,データ!$K$11:$O$16,3,TRUE),"")</f>
        <v/>
      </c>
      <c r="E10" s="74">
        <f t="shared" si="2"/>
        <v>0.41666666666666669</v>
      </c>
      <c r="F10" s="75">
        <f>VLOOKUP(E10,データ!$K$20:$O$24,5,FALSE)</f>
        <v>0</v>
      </c>
      <c r="G10" s="74">
        <f>IF(AND(M10&gt;=VLOOKUP(M10,データ!$K$3:$O$6,1,TRUE),M10&lt;=VLOOKUP(M10,データ!$K$3:$O$6,2,TRUE)),VLOOKUP(M10,データ!$K$3:$O$6,4,TRUE),"")</f>
        <v>0.70833333333333337</v>
      </c>
      <c r="H10" s="256">
        <f>INDEX(データ!L$21:N$24,MATCH(配置表!E10,データ!K$21:K$24,0),MATCH(配置表!G10,データ!L$20:N$20,0))</f>
        <v>1</v>
      </c>
      <c r="I10" s="52" t="str">
        <f>IF(ISERROR(VLOOKUP(M10,データ!$A$3:$C$20,3,FALSE)),"",VLOOKUP(M10,データ!$A$3:$C$20,3,FALSE))</f>
        <v/>
      </c>
      <c r="J10" s="52" t="str">
        <f t="shared" si="3"/>
        <v/>
      </c>
      <c r="K10" s="53">
        <f t="shared" si="12"/>
        <v>0</v>
      </c>
      <c r="L10" s="28" t="str">
        <f t="shared" si="0"/>
        <v/>
      </c>
      <c r="M10" s="9">
        <f t="shared" si="13"/>
        <v>45751</v>
      </c>
      <c r="N10" s="10" t="str">
        <f t="shared" si="4"/>
        <v>金</v>
      </c>
      <c r="O10" s="62" t="str">
        <f>IF(AND(M10&gt;=VLOOKUP(M10,データ!$E$3:$G$9,1,TRUE),M10&lt;=VLOOKUP(M10,データ!$E$3:$G$9,2,TRUE)),VLOOKUP(M10,データ!$E$3:$G$9,3,TRUE),"")</f>
        <v>春　特別展</v>
      </c>
      <c r="P10" s="63" t="str">
        <f>IF(AND(M10&gt;=VLOOKUP(M10,データ!$E$14:$G$21,1,TRUE),M10&lt;=VLOOKUP(M10,データ!$E$14:$G$21,2,TRUE)),VLOOKUP(M10,データ!$E$14:$G$21,3,TRUE),"")</f>
        <v>テーマ展</v>
      </c>
      <c r="Q10" s="44" t="str">
        <f t="shared" si="5"/>
        <v>○</v>
      </c>
      <c r="R10" s="45"/>
      <c r="S10" s="33" t="str">
        <f t="shared" si="6"/>
        <v/>
      </c>
      <c r="T10" s="45"/>
      <c r="U10" s="33" t="str">
        <f t="shared" si="7"/>
        <v>●</v>
      </c>
      <c r="V10" s="32"/>
      <c r="W10" s="10" t="str">
        <f t="shared" si="8"/>
        <v>○</v>
      </c>
      <c r="X10" s="32"/>
      <c r="Y10" s="33" t="str">
        <f t="shared" si="9"/>
        <v>○</v>
      </c>
      <c r="Z10" s="32">
        <f>IF(L10="閉","",(IF(AND(M10&gt;=VLOOKUP(M10,データ!$E$3:$G$9,1,TRUE),M10&lt;=VLOOKUP(M10,データ!$E$3:$G$9,2,TRUE)),VLOOKUP(M10,データ!$E$3:$H$9,4,TRUE),0)+IF(AND(M10&gt;=VLOOKUP(M10,データ!$E$14:$G$21,1,TRUE),M10&lt;=VLOOKUP(M10,データ!$E$14:$G$21,2,TRUE)),VLOOKUP(M10,データ!$E$14:$H$21,4,TRUE),0)))</f>
        <v>5</v>
      </c>
      <c r="AA10" s="33" t="str">
        <f t="shared" si="10"/>
        <v>○</v>
      </c>
      <c r="AB10" s="227">
        <f t="shared" si="11"/>
        <v>0.41666666666666669</v>
      </c>
      <c r="AC10" s="227">
        <f t="shared" si="14"/>
        <v>0.70833333333333337</v>
      </c>
      <c r="AD10" s="228" t="str">
        <f>IF(K10=1,IF(ISERROR(VLOOKUP(M10,データ!$A$3:$C$23,2,FALSE)),"",VLOOKUP(M10,データ!$A$3:$C$23,2,FALSE)),(IF(ISERROR(VLOOKUP(M10,データ!$A$3:$C$23,2,FALSE)),"",VLOOKUP(M10,データ!$A$3:$C$23,2,FALSE))))</f>
        <v/>
      </c>
    </row>
    <row r="11" spans="1:30">
      <c r="A11" s="1">
        <f>IF(AND(M11&gt;=VLOOKUP(M11,データ!$K$3:$O$6,1,TRUE),M11&lt;=VLOOKUP(M11,データ!$K$3:$O$6,2,TRUE)),VLOOKUP(M11,データ!$K$3:$O$6,5,TRUE),"")</f>
        <v>1</v>
      </c>
      <c r="B11" s="74">
        <f>IF(AND(M11&gt;=VLOOKUP(M11,データ!$K$3:$O$6,1,TRUE),M11&lt;=VLOOKUP(M11,データ!$K$3:$O$6,2,TRUE)),VLOOKUP(M11,データ!$K$3:$O$6,3,TRUE),"")</f>
        <v>0.41666666666666669</v>
      </c>
      <c r="C11" s="1">
        <f>IF(AND(M11&gt;=VLOOKUP(M11,データ!$K$11:$O$16,1,TRUE),M11&lt;=VLOOKUP(M11,データ!$K$11:$O$16,2,TRUE)),VLOOKUP(M11,データ!$K$11:$O$16,5,TRUE),0)</f>
        <v>0</v>
      </c>
      <c r="D11" s="74" t="str">
        <f>IF(AND(M11&gt;=VLOOKUP(M11,データ!$K$11:$O$16,1,TRUE),M11&lt;=VLOOKUP(M11,データ!$K$11:$O$16,2,TRUE)),VLOOKUP(M11,データ!$K$11:$O$16,3,TRUE),"")</f>
        <v/>
      </c>
      <c r="E11" s="74">
        <f t="shared" si="2"/>
        <v>0.41666666666666669</v>
      </c>
      <c r="F11" s="75">
        <f>VLOOKUP(E11,データ!$K$20:$O$24,5,FALSE)</f>
        <v>0</v>
      </c>
      <c r="G11" s="74">
        <f>IF(AND(M11&gt;=VLOOKUP(M11,データ!$K$3:$O$6,1,TRUE),M11&lt;=VLOOKUP(M11,データ!$K$3:$O$6,2,TRUE)),VLOOKUP(M11,データ!$K$3:$O$6,4,TRUE),"")</f>
        <v>0.70833333333333337</v>
      </c>
      <c r="H11" s="256">
        <f>INDEX(データ!L$21:N$24,MATCH(配置表!E11,データ!K$21:K$24,0),MATCH(配置表!G11,データ!L$20:N$20,0))</f>
        <v>1</v>
      </c>
      <c r="I11" s="52" t="str">
        <f>IF(ISERROR(VLOOKUP(M11,データ!$A$3:$C$20,3,FALSE)),"",VLOOKUP(M11,データ!$A$3:$C$20,3,FALSE))</f>
        <v/>
      </c>
      <c r="J11" s="52" t="str">
        <f t="shared" si="3"/>
        <v/>
      </c>
      <c r="K11" s="53">
        <f t="shared" si="12"/>
        <v>0</v>
      </c>
      <c r="L11" s="28" t="str">
        <f t="shared" si="0"/>
        <v/>
      </c>
      <c r="M11" s="9">
        <f t="shared" si="13"/>
        <v>45752</v>
      </c>
      <c r="N11" s="10" t="str">
        <f t="shared" si="4"/>
        <v>土</v>
      </c>
      <c r="O11" s="62" t="str">
        <f>IF(AND(M11&gt;=VLOOKUP(M11,データ!$E$3:$G$9,1,TRUE),M11&lt;=VLOOKUP(M11,データ!$E$3:$G$9,2,TRUE)),VLOOKUP(M11,データ!$E$3:$G$9,3,TRUE),"")</f>
        <v>春　特別展</v>
      </c>
      <c r="P11" s="63" t="str">
        <f>IF(AND(M11&gt;=VLOOKUP(M11,データ!$E$14:$G$21,1,TRUE),M11&lt;=VLOOKUP(M11,データ!$E$14:$G$21,2,TRUE)),VLOOKUP(M11,データ!$E$14:$G$21,3,TRUE),"")</f>
        <v>テーマ展</v>
      </c>
      <c r="Q11" s="44" t="str">
        <f t="shared" si="5"/>
        <v>○</v>
      </c>
      <c r="R11" s="45"/>
      <c r="S11" s="10" t="str">
        <f t="shared" ref="S11:S35" si="15">IF(L11="閉","休",IF(O11="","",IF(O11="冬　特別展",IF(OR(N11="土",N11="日",I11=1),"○",""),"○")))</f>
        <v>○</v>
      </c>
      <c r="T11" s="45"/>
      <c r="U11" s="33" t="str">
        <f t="shared" si="7"/>
        <v>●</v>
      </c>
      <c r="V11" s="32"/>
      <c r="W11" s="33" t="str">
        <f>IF(L11="閉","休",IF(O11="","",IF(OR(N11="土",N11="日",I11=1),IF(OR(O11="ダミー　特別展",O11="ダミー　特別展"),"◎",IF(OR(O11="夏　特別展",O11="秋　特別展",O11="春　特別展"),"◎","")),"")))</f>
        <v>◎</v>
      </c>
      <c r="X11" s="32"/>
      <c r="Y11" s="33" t="str">
        <f t="shared" si="9"/>
        <v>○</v>
      </c>
      <c r="Z11" s="32">
        <f>IF(L11="閉","",(IF(AND(M11&gt;=VLOOKUP(M11,データ!$E$3:$G$9,1,TRUE),M11&lt;=VLOOKUP(M11,データ!$E$3:$G$9,2,TRUE)),VLOOKUP(M11,データ!$E$3:$H$9,4,TRUE),0)+IF(AND(M11&gt;=VLOOKUP(M11,データ!$E$14:$G$21,1,TRUE),M11&lt;=VLOOKUP(M11,データ!$E$14:$G$21,2,TRUE)),VLOOKUP(M11,データ!$E$14:$H$21,4,TRUE),0)))</f>
        <v>5</v>
      </c>
      <c r="AA11" s="33" t="str">
        <f t="shared" si="10"/>
        <v>○</v>
      </c>
      <c r="AB11" s="227">
        <f t="shared" si="11"/>
        <v>0.41666666666666669</v>
      </c>
      <c r="AC11" s="227">
        <f t="shared" si="14"/>
        <v>0.70833333333333337</v>
      </c>
      <c r="AD11" s="228" t="str">
        <f>IF(K11=1,IF(ISERROR(VLOOKUP(M11,データ!$A$3:$C$23,2,FALSE)),"",VLOOKUP(M11,データ!$A$3:$C$23,2,FALSE)),(IF(ISERROR(VLOOKUP(M11,データ!$A$3:$C$23,2,FALSE)),"",VLOOKUP(M11,データ!$A$3:$C$23,2,FALSE))))</f>
        <v/>
      </c>
    </row>
    <row r="12" spans="1:30">
      <c r="A12" s="1">
        <f>IF(AND(M12&gt;=VLOOKUP(M12,データ!$K$3:$O$6,1,TRUE),M12&lt;=VLOOKUP(M12,データ!$K$3:$O$6,2,TRUE)),VLOOKUP(M12,データ!$K$3:$O$6,5,TRUE),"")</f>
        <v>1</v>
      </c>
      <c r="B12" s="74">
        <f>IF(AND(M12&gt;=VLOOKUP(M12,データ!$K$3:$O$6,1,TRUE),M12&lt;=VLOOKUP(M12,データ!$K$3:$O$6,2,TRUE)),VLOOKUP(M12,データ!$K$3:$O$6,3,TRUE),"")</f>
        <v>0.41666666666666669</v>
      </c>
      <c r="C12" s="1">
        <f>IF(AND(M12&gt;=VLOOKUP(M12,データ!$K$11:$O$16,1,TRUE),M12&lt;=VLOOKUP(M12,データ!$K$11:$O$16,2,TRUE)),VLOOKUP(M12,データ!$K$11:$O$16,5,TRUE),0)</f>
        <v>0</v>
      </c>
      <c r="D12" s="74" t="str">
        <f>IF(AND(M12&gt;=VLOOKUP(M12,データ!$K$11:$O$16,1,TRUE),M12&lt;=VLOOKUP(M12,データ!$K$11:$O$16,2,TRUE)),VLOOKUP(M12,データ!$K$11:$O$16,3,TRUE),"")</f>
        <v/>
      </c>
      <c r="E12" s="74">
        <f t="shared" si="2"/>
        <v>0.41666666666666669</v>
      </c>
      <c r="F12" s="75">
        <f>VLOOKUP(E12,データ!$K$20:$O$24,5,FALSE)</f>
        <v>0</v>
      </c>
      <c r="G12" s="74">
        <f>IF(AND(M12&gt;=VLOOKUP(M12,データ!$K$3:$O$6,1,TRUE),M12&lt;=VLOOKUP(M12,データ!$K$3:$O$6,2,TRUE)),VLOOKUP(M12,データ!$K$3:$O$6,4,TRUE),"")</f>
        <v>0.70833333333333337</v>
      </c>
      <c r="H12" s="256">
        <f>INDEX(データ!L$21:N$24,MATCH(配置表!E12,データ!K$21:K$24,0),MATCH(配置表!G12,データ!L$20:N$20,0))</f>
        <v>1</v>
      </c>
      <c r="I12" s="52" t="str">
        <f>IF(ISERROR(VLOOKUP(M12,データ!$A$3:$C$20,3,FALSE)),"",VLOOKUP(M12,データ!$A$3:$C$20,3,FALSE))</f>
        <v/>
      </c>
      <c r="J12" s="52" t="str">
        <f t="shared" si="3"/>
        <v/>
      </c>
      <c r="K12" s="53">
        <f t="shared" si="12"/>
        <v>0</v>
      </c>
      <c r="L12" s="28" t="str">
        <f t="shared" si="0"/>
        <v/>
      </c>
      <c r="M12" s="9">
        <f t="shared" si="13"/>
        <v>45753</v>
      </c>
      <c r="N12" s="10" t="str">
        <f t="shared" si="4"/>
        <v>日</v>
      </c>
      <c r="O12" s="62" t="str">
        <f>IF(AND(M12&gt;=VLOOKUP(M12,データ!$E$3:$G$9,1,TRUE),M12&lt;=VLOOKUP(M12,データ!$E$3:$G$9,2,TRUE)),VLOOKUP(M12,データ!$E$3:$G$9,3,TRUE),"")</f>
        <v>春　特別展</v>
      </c>
      <c r="P12" s="63" t="str">
        <f>IF(AND(M12&gt;=VLOOKUP(M12,データ!$E$14:$G$21,1,TRUE),M12&lt;=VLOOKUP(M12,データ!$E$14:$G$21,2,TRUE)),VLOOKUP(M12,データ!$E$14:$G$21,3,TRUE),"")</f>
        <v>テーマ展</v>
      </c>
      <c r="Q12" s="44" t="str">
        <f t="shared" si="5"/>
        <v>○</v>
      </c>
      <c r="R12" s="45"/>
      <c r="S12" s="10" t="str">
        <f t="shared" si="15"/>
        <v>○</v>
      </c>
      <c r="T12" s="45"/>
      <c r="U12" s="33" t="str">
        <f t="shared" si="7"/>
        <v>●</v>
      </c>
      <c r="V12" s="32"/>
      <c r="W12" s="33" t="str">
        <f>IF(L12="閉","休",IF(O12="","",IF(OR(N12="土",N12="日",I12=1),IF(OR(O12="ダミー　特別展",O12="ダミー　特別展"),"◎",IF(OR(O12="夏　特別展",O12="秋　特別展",O12="春　特別展"),"◎","")),"")))</f>
        <v>◎</v>
      </c>
      <c r="X12" s="32"/>
      <c r="Y12" s="33" t="str">
        <f t="shared" si="9"/>
        <v>○</v>
      </c>
      <c r="Z12" s="32">
        <f>IF(L12="閉","",(IF(AND(M12&gt;=VLOOKUP(M12,データ!$E$3:$G$9,1,TRUE),M12&lt;=VLOOKUP(M12,データ!$E$3:$G$9,2,TRUE)),VLOOKUP(M12,データ!$E$3:$H$9,4,TRUE),0)+IF(AND(M12&gt;=VLOOKUP(M12,データ!$E$14:$G$21,1,TRUE),M12&lt;=VLOOKUP(M12,データ!$E$14:$G$21,2,TRUE)),VLOOKUP(M12,データ!$E$14:$H$21,4,TRUE),0)))</f>
        <v>5</v>
      </c>
      <c r="AA12" s="33" t="str">
        <f t="shared" si="10"/>
        <v>○</v>
      </c>
      <c r="AB12" s="227">
        <f t="shared" si="11"/>
        <v>0.41666666666666669</v>
      </c>
      <c r="AC12" s="227">
        <f t="shared" si="14"/>
        <v>0.70833333333333337</v>
      </c>
      <c r="AD12" s="228" t="str">
        <f>IF(K12=1,IF(ISERROR(VLOOKUP(M12,データ!$A$3:$C$23,2,FALSE)),"",VLOOKUP(M12,データ!$A$3:$C$23,2,FALSE)),(IF(ISERROR(VLOOKUP(M12,データ!$A$3:$C$23,2,FALSE)),"",VLOOKUP(M12,データ!$A$3:$C$23,2,FALSE))))</f>
        <v/>
      </c>
    </row>
    <row r="13" spans="1:30">
      <c r="A13" s="1">
        <f>IF(AND(M13&gt;=VLOOKUP(M13,データ!$K$3:$O$6,1,TRUE),M13&lt;=VLOOKUP(M13,データ!$K$3:$O$6,2,TRUE)),VLOOKUP(M13,データ!$K$3:$O$6,5,TRUE),"")</f>
        <v>1</v>
      </c>
      <c r="B13" s="74">
        <f>IF(AND(M13&gt;=VLOOKUP(M13,データ!$K$3:$O$6,1,TRUE),M13&lt;=VLOOKUP(M13,データ!$K$3:$O$6,2,TRUE)),VLOOKUP(M13,データ!$K$3:$O$6,3,TRUE),"")</f>
        <v>0.41666666666666669</v>
      </c>
      <c r="C13" s="1">
        <f>IF(AND(M13&gt;=VLOOKUP(M13,データ!$K$11:$O$16,1,TRUE),M13&lt;=VLOOKUP(M13,データ!$K$11:$O$16,2,TRUE)),VLOOKUP(M13,データ!$K$11:$O$16,5,TRUE),0)</f>
        <v>0</v>
      </c>
      <c r="D13" s="74" t="str">
        <f>IF(AND(M13&gt;=VLOOKUP(M13,データ!$K$11:$O$16,1,TRUE),M13&lt;=VLOOKUP(M13,データ!$K$11:$O$16,2,TRUE)),VLOOKUP(M13,データ!$K$11:$O$16,3,TRUE),"")</f>
        <v/>
      </c>
      <c r="E13" s="74">
        <f t="shared" si="2"/>
        <v>0.41666666666666669</v>
      </c>
      <c r="F13" s="75">
        <f>VLOOKUP(E13,データ!$K$20:$O$24,5,FALSE)</f>
        <v>0</v>
      </c>
      <c r="G13" s="74">
        <f>IF(AND(M13&gt;=VLOOKUP(M13,データ!$K$3:$O$6,1,TRUE),M13&lt;=VLOOKUP(M13,データ!$K$3:$O$6,2,TRUE)),VLOOKUP(M13,データ!$K$3:$O$6,4,TRUE),"")</f>
        <v>0.70833333333333337</v>
      </c>
      <c r="H13" s="256">
        <f>INDEX(データ!L$21:N$24,MATCH(配置表!E13,データ!K$21:K$24,0),MATCH(配置表!G13,データ!L$20:N$20,0))</f>
        <v>1</v>
      </c>
      <c r="I13" s="52" t="str">
        <f>IF(ISERROR(VLOOKUP(M13,データ!$A$3:$C$20,3,FALSE)),"",VLOOKUP(M13,データ!$A$3:$C$20,3,FALSE))</f>
        <v/>
      </c>
      <c r="J13" s="52">
        <f t="shared" si="3"/>
        <v>1</v>
      </c>
      <c r="K13" s="53">
        <f t="shared" si="12"/>
        <v>1</v>
      </c>
      <c r="L13" s="28" t="str">
        <f t="shared" si="0"/>
        <v>閉</v>
      </c>
      <c r="M13" s="9">
        <f t="shared" si="13"/>
        <v>45754</v>
      </c>
      <c r="N13" s="10" t="str">
        <f t="shared" si="4"/>
        <v>月</v>
      </c>
      <c r="O13" s="62" t="str">
        <f>IF(AND(M13&gt;=VLOOKUP(M13,データ!$E$3:$G$9,1,TRUE),M13&lt;=VLOOKUP(M13,データ!$E$3:$G$9,2,TRUE)),VLOOKUP(M13,データ!$E$3:$G$9,3,TRUE),"")</f>
        <v>春　特別展</v>
      </c>
      <c r="P13" s="63" t="str">
        <f>IF(AND(M13&gt;=VLOOKUP(M13,データ!$E$14:$G$21,1,TRUE),M13&lt;=VLOOKUP(M13,データ!$E$14:$G$21,2,TRUE)),VLOOKUP(M13,データ!$E$14:$G$21,3,TRUE),"")</f>
        <v>テーマ展</v>
      </c>
      <c r="Q13" s="44" t="str">
        <f t="shared" si="5"/>
        <v>休</v>
      </c>
      <c r="R13" s="32"/>
      <c r="S13" s="33" t="str">
        <f t="shared" si="15"/>
        <v>休</v>
      </c>
      <c r="T13" s="32"/>
      <c r="U13" s="33" t="str">
        <f t="shared" si="7"/>
        <v>休</v>
      </c>
      <c r="V13" s="32"/>
      <c r="W13" s="33" t="str">
        <f t="shared" ref="W13:W34" si="16">IF(L13="閉","休",IF(O13="","",IF(OR(N13="土",N13="日",I13=1),IF(OR(O13="ダミー　特別展",O13="ダミー　特別展"),"◎",IF(OR(O13="夏　特別展",O13="秋　特別展",O13="春　特別展"),"○","")),"")))</f>
        <v>休</v>
      </c>
      <c r="X13" s="32"/>
      <c r="Y13" s="33" t="str">
        <f t="shared" si="9"/>
        <v>休</v>
      </c>
      <c r="Z13" s="32" t="str">
        <f>IF(L13="閉","",(IF(AND(M13&gt;=VLOOKUP(M13,データ!$E$3:$G$9,1,TRUE),M13&lt;=VLOOKUP(M13,データ!$E$3:$G$9,2,TRUE)),VLOOKUP(M13,データ!$E$3:$H$9,4,TRUE),0)+IF(AND(M13&gt;=VLOOKUP(M13,データ!$E$14:$G$21,1,TRUE),M13&lt;=VLOOKUP(M13,データ!$E$14:$G$21,2,TRUE)),VLOOKUP(M13,データ!$E$14:$H$21,4,TRUE),0)))</f>
        <v/>
      </c>
      <c r="AA13" s="33" t="str">
        <f t="shared" si="10"/>
        <v>休</v>
      </c>
      <c r="AB13" s="227" t="str">
        <f t="shared" si="11"/>
        <v/>
      </c>
      <c r="AC13" s="227" t="str">
        <f t="shared" si="14"/>
        <v/>
      </c>
      <c r="AD13" s="228" t="str">
        <f>IF(K13=1,IF(ISERROR(VLOOKUP(M13,データ!$A$3:$C$23,2,FALSE)),"",VLOOKUP(M13,データ!$A$3:$C$23,2,FALSE)),(IF(ISERROR(VLOOKUP(M13,データ!$A$3:$C$23,2,FALSE)),"",VLOOKUP(M13,データ!$A$3:$C$23,2,FALSE))))</f>
        <v/>
      </c>
    </row>
    <row r="14" spans="1:30">
      <c r="A14" s="1">
        <f>IF(AND(M14&gt;=VLOOKUP(M14,データ!$K$3:$O$6,1,TRUE),M14&lt;=VLOOKUP(M14,データ!$K$3:$O$6,2,TRUE)),VLOOKUP(M14,データ!$K$3:$O$6,5,TRUE),"")</f>
        <v>1</v>
      </c>
      <c r="B14" s="74">
        <f>IF(AND(M14&gt;=VLOOKUP(M14,データ!$K$3:$O$6,1,TRUE),M14&lt;=VLOOKUP(M14,データ!$K$3:$O$6,2,TRUE)),VLOOKUP(M14,データ!$K$3:$O$6,3,TRUE),"")</f>
        <v>0.41666666666666669</v>
      </c>
      <c r="C14" s="1">
        <f>IF(AND(M14&gt;=VLOOKUP(M14,データ!$K$11:$O$16,1,TRUE),M14&lt;=VLOOKUP(M14,データ!$K$11:$O$16,2,TRUE)),VLOOKUP(M14,データ!$K$11:$O$16,5,TRUE),0)</f>
        <v>0</v>
      </c>
      <c r="D14" s="74" t="str">
        <f>IF(AND(M14&gt;=VLOOKUP(M14,データ!$K$11:$O$16,1,TRUE),M14&lt;=VLOOKUP(M14,データ!$K$11:$O$16,2,TRUE)),VLOOKUP(M14,データ!$K$11:$O$16,3,TRUE),"")</f>
        <v/>
      </c>
      <c r="E14" s="74">
        <f t="shared" si="2"/>
        <v>0.41666666666666669</v>
      </c>
      <c r="F14" s="75">
        <f>VLOOKUP(E14,データ!$K$20:$O$24,5,FALSE)</f>
        <v>0</v>
      </c>
      <c r="G14" s="74">
        <f>IF(AND(M14&gt;=VLOOKUP(M14,データ!$K$3:$O$6,1,TRUE),M14&lt;=VLOOKUP(M14,データ!$K$3:$O$6,2,TRUE)),VLOOKUP(M14,データ!$K$3:$O$6,4,TRUE),"")</f>
        <v>0.70833333333333337</v>
      </c>
      <c r="H14" s="256">
        <f>INDEX(データ!L$21:N$24,MATCH(配置表!E14,データ!K$21:K$24,0),MATCH(配置表!G14,データ!L$20:N$20,0))</f>
        <v>1</v>
      </c>
      <c r="I14" s="52" t="str">
        <f>IF(ISERROR(VLOOKUP(M14,データ!$A$3:$C$20,3,FALSE)),"",VLOOKUP(M14,データ!$A$3:$C$20,3,FALSE))</f>
        <v/>
      </c>
      <c r="J14" s="52" t="str">
        <f t="shared" si="3"/>
        <v/>
      </c>
      <c r="K14" s="53">
        <f t="shared" si="12"/>
        <v>0</v>
      </c>
      <c r="L14" s="28" t="str">
        <f t="shared" si="0"/>
        <v/>
      </c>
      <c r="M14" s="9">
        <f t="shared" si="13"/>
        <v>45755</v>
      </c>
      <c r="N14" s="10" t="str">
        <f t="shared" si="4"/>
        <v>火</v>
      </c>
      <c r="O14" s="62" t="str">
        <f>IF(AND(M14&gt;=VLOOKUP(M14,データ!$E$3:$G$9,1,TRUE),M14&lt;=VLOOKUP(M14,データ!$E$3:$G$9,2,TRUE)),VLOOKUP(M14,データ!$E$3:$G$9,3,TRUE),"")</f>
        <v>春　特別展</v>
      </c>
      <c r="P14" s="63" t="str">
        <f>IF(AND(M14&gt;=VLOOKUP(M14,データ!$E$14:$G$21,1,TRUE),M14&lt;=VLOOKUP(M14,データ!$E$14:$G$21,2,TRUE)),VLOOKUP(M14,データ!$E$14:$G$21,3,TRUE),"")</f>
        <v>テーマ展</v>
      </c>
      <c r="Q14" s="44" t="str">
        <f t="shared" si="5"/>
        <v>○</v>
      </c>
      <c r="R14" s="45"/>
      <c r="S14" s="33" t="str">
        <f>IF(H14="閉","休",IF(K14="","",IF(OR(J14="土",J14="日",E14=1),IF(OR(K14="ダミー　特別展",K14="ダミー　特別展"),"◎",IF(OR(K14="夏　特別展",K14="秋　特別展",K14="春　特別展"),"○","")),"")))</f>
        <v/>
      </c>
      <c r="T14" s="45"/>
      <c r="U14" s="33" t="str">
        <f t="shared" si="7"/>
        <v>●</v>
      </c>
      <c r="V14" s="32"/>
      <c r="W14" s="10" t="str">
        <f>IF(P14="閉","休",IF(O14="","",IF(O14="冬　特別展",IF(OR(N14="土",N14="日",M14=1),"○",""),"○")))</f>
        <v>○</v>
      </c>
      <c r="X14" s="32"/>
      <c r="Y14" s="33" t="str">
        <f t="shared" si="9"/>
        <v>○</v>
      </c>
      <c r="Z14" s="32">
        <f>IF(L14="閉","",(IF(AND(M14&gt;=VLOOKUP(M14,データ!$E$3:$G$9,1,TRUE),M14&lt;=VLOOKUP(M14,データ!$E$3:$G$9,2,TRUE)),VLOOKUP(M14,データ!$E$3:$H$9,4,TRUE),0)+IF(AND(M14&gt;=VLOOKUP(M14,データ!$E$14:$G$21,1,TRUE),M14&lt;=VLOOKUP(M14,データ!$E$14:$G$21,2,TRUE)),VLOOKUP(M14,データ!$E$14:$H$21,4,TRUE),0)))</f>
        <v>5</v>
      </c>
      <c r="AA14" s="33" t="str">
        <f t="shared" si="10"/>
        <v>○</v>
      </c>
      <c r="AB14" s="227">
        <f t="shared" si="11"/>
        <v>0.41666666666666669</v>
      </c>
      <c r="AC14" s="227">
        <f t="shared" si="14"/>
        <v>0.70833333333333337</v>
      </c>
      <c r="AD14" s="228" t="str">
        <f>IF(K14=1,IF(ISERROR(VLOOKUP(M14,データ!$A$3:$C$23,2,FALSE)),"",VLOOKUP(M14,データ!$A$3:$C$23,2,FALSE)),(IF(ISERROR(VLOOKUP(M14,データ!$A$3:$C$23,2,FALSE)),"",VLOOKUP(M14,データ!$A$3:$C$23,2,FALSE))))</f>
        <v/>
      </c>
    </row>
    <row r="15" spans="1:30">
      <c r="A15" s="1">
        <f>IF(AND(M15&gt;=VLOOKUP(M15,データ!$K$3:$O$6,1,TRUE),M15&lt;=VLOOKUP(M15,データ!$K$3:$O$6,2,TRUE)),VLOOKUP(M15,データ!$K$3:$O$6,5,TRUE),"")</f>
        <v>1</v>
      </c>
      <c r="B15" s="74">
        <f>IF(AND(M15&gt;=VLOOKUP(M15,データ!$K$3:$O$6,1,TRUE),M15&lt;=VLOOKUP(M15,データ!$K$3:$O$6,2,TRUE)),VLOOKUP(M15,データ!$K$3:$O$6,3,TRUE),"")</f>
        <v>0.41666666666666669</v>
      </c>
      <c r="C15" s="1">
        <f>IF(AND(M15&gt;=VLOOKUP(M15,データ!$K$11:$O$16,1,TRUE),M15&lt;=VLOOKUP(M15,データ!$K$11:$O$16,2,TRUE)),VLOOKUP(M15,データ!$K$11:$O$16,5,TRUE),0)</f>
        <v>0</v>
      </c>
      <c r="D15" s="74" t="str">
        <f>IF(AND(M15&gt;=VLOOKUP(M15,データ!$K$11:$O$16,1,TRUE),M15&lt;=VLOOKUP(M15,データ!$K$11:$O$16,2,TRUE)),VLOOKUP(M15,データ!$K$11:$O$16,3,TRUE),"")</f>
        <v/>
      </c>
      <c r="E15" s="74">
        <f t="shared" si="2"/>
        <v>0.41666666666666669</v>
      </c>
      <c r="F15" s="75">
        <f>VLOOKUP(E15,データ!$K$20:$O$24,5,FALSE)</f>
        <v>0</v>
      </c>
      <c r="G15" s="74">
        <f>IF(AND(M15&gt;=VLOOKUP(M15,データ!$K$3:$O$6,1,TRUE),M15&lt;=VLOOKUP(M15,データ!$K$3:$O$6,2,TRUE)),VLOOKUP(M15,データ!$K$3:$O$6,4,TRUE),"")</f>
        <v>0.70833333333333337</v>
      </c>
      <c r="H15" s="256">
        <f>INDEX(データ!L$21:N$24,MATCH(配置表!E15,データ!K$21:K$24,0),MATCH(配置表!G15,データ!L$20:N$20,0))</f>
        <v>1</v>
      </c>
      <c r="I15" s="52" t="str">
        <f>IF(ISERROR(VLOOKUP(M15,データ!$A$3:$C$20,3,FALSE)),"",VLOOKUP(M15,データ!$A$3:$C$20,3,FALSE))</f>
        <v/>
      </c>
      <c r="J15" s="52" t="str">
        <f t="shared" si="3"/>
        <v/>
      </c>
      <c r="K15" s="53">
        <f t="shared" si="12"/>
        <v>0</v>
      </c>
      <c r="L15" s="28" t="str">
        <f t="shared" si="0"/>
        <v/>
      </c>
      <c r="M15" s="9">
        <f t="shared" si="13"/>
        <v>45756</v>
      </c>
      <c r="N15" s="10" t="str">
        <f t="shared" si="4"/>
        <v>水</v>
      </c>
      <c r="O15" s="62" t="str">
        <f>IF(AND(M15&gt;=VLOOKUP(M15,データ!$E$3:$G$9,1,TRUE),M15&lt;=VLOOKUP(M15,データ!$E$3:$G$9,2,TRUE)),VLOOKUP(M15,データ!$E$3:$G$9,3,TRUE),"")</f>
        <v>春　特別展</v>
      </c>
      <c r="P15" s="63" t="str">
        <f>IF(AND(M15&gt;=VLOOKUP(M15,データ!$E$14:$G$21,1,TRUE),M15&lt;=VLOOKUP(M15,データ!$E$14:$G$21,2,TRUE)),VLOOKUP(M15,データ!$E$14:$G$21,3,TRUE),"")</f>
        <v>テーマ展</v>
      </c>
      <c r="Q15" s="44" t="str">
        <f t="shared" si="5"/>
        <v>○</v>
      </c>
      <c r="R15" s="45"/>
      <c r="S15" s="33" t="str">
        <f t="shared" ref="S15:S17" si="17">IF(H15="閉","休",IF(K15="","",IF(OR(J15="土",J15="日",E15=1),IF(OR(K15="ダミー　特別展",K15="ダミー　特別展"),"◎",IF(OR(K15="夏　特別展",K15="秋　特別展",K15="春　特別展"),"○","")),"")))</f>
        <v/>
      </c>
      <c r="T15" s="45"/>
      <c r="U15" s="33" t="str">
        <f t="shared" si="7"/>
        <v>●</v>
      </c>
      <c r="V15" s="32"/>
      <c r="W15" s="10" t="str">
        <f t="shared" ref="W15:W17" si="18">IF(P15="閉","休",IF(O15="","",IF(O15="冬　特別展",IF(OR(N15="土",N15="日",M15=1),"○",""),"○")))</f>
        <v>○</v>
      </c>
      <c r="X15" s="32"/>
      <c r="Y15" s="33" t="str">
        <f t="shared" si="9"/>
        <v>○</v>
      </c>
      <c r="Z15" s="32">
        <f>IF(L15="閉","",(IF(AND(M15&gt;=VLOOKUP(M15,データ!$E$3:$G$9,1,TRUE),M15&lt;=VLOOKUP(M15,データ!$E$3:$G$9,2,TRUE)),VLOOKUP(M15,データ!$E$3:$H$9,4,TRUE),0)+IF(AND(M15&gt;=VLOOKUP(M15,データ!$E$14:$G$21,1,TRUE),M15&lt;=VLOOKUP(M15,データ!$E$14:$G$21,2,TRUE)),VLOOKUP(M15,データ!$E$14:$H$21,4,TRUE),0)))</f>
        <v>5</v>
      </c>
      <c r="AA15" s="33" t="str">
        <f t="shared" si="10"/>
        <v>○</v>
      </c>
      <c r="AB15" s="227">
        <f t="shared" si="11"/>
        <v>0.41666666666666669</v>
      </c>
      <c r="AC15" s="227">
        <f t="shared" si="14"/>
        <v>0.70833333333333337</v>
      </c>
      <c r="AD15" s="228" t="str">
        <f>IF(K15=1,IF(ISERROR(VLOOKUP(M15,データ!$A$3:$C$23,2,FALSE)),"",VLOOKUP(M15,データ!$A$3:$C$23,2,FALSE)),(IF(ISERROR(VLOOKUP(M15,データ!$A$3:$C$23,2,FALSE)),"",VLOOKUP(M15,データ!$A$3:$C$23,2,FALSE))))</f>
        <v/>
      </c>
    </row>
    <row r="16" spans="1:30">
      <c r="A16" s="1">
        <f>IF(AND(M16&gt;=VLOOKUP(M16,データ!$K$3:$O$6,1,TRUE),M16&lt;=VLOOKUP(M16,データ!$K$3:$O$6,2,TRUE)),VLOOKUP(M16,データ!$K$3:$O$6,5,TRUE),"")</f>
        <v>1</v>
      </c>
      <c r="B16" s="74">
        <f>IF(AND(M16&gt;=VLOOKUP(M16,データ!$K$3:$O$6,1,TRUE),M16&lt;=VLOOKUP(M16,データ!$K$3:$O$6,2,TRUE)),VLOOKUP(M16,データ!$K$3:$O$6,3,TRUE),"")</f>
        <v>0.41666666666666669</v>
      </c>
      <c r="C16" s="1">
        <f>IF(AND(M16&gt;=VLOOKUP(M16,データ!$K$11:$O$16,1,TRUE),M16&lt;=VLOOKUP(M16,データ!$K$11:$O$16,2,TRUE)),VLOOKUP(M16,データ!$K$11:$O$16,5,TRUE),0)</f>
        <v>0</v>
      </c>
      <c r="D16" s="74" t="str">
        <f>IF(AND(M16&gt;=VLOOKUP(M16,データ!$K$11:$O$16,1,TRUE),M16&lt;=VLOOKUP(M16,データ!$K$11:$O$16,2,TRUE)),VLOOKUP(M16,データ!$K$11:$O$16,3,TRUE),"")</f>
        <v/>
      </c>
      <c r="E16" s="74">
        <f t="shared" si="2"/>
        <v>0.41666666666666669</v>
      </c>
      <c r="F16" s="75">
        <f>VLOOKUP(E16,データ!$K$20:$O$24,5,FALSE)</f>
        <v>0</v>
      </c>
      <c r="G16" s="74">
        <f>IF(AND(M16&gt;=VLOOKUP(M16,データ!$K$3:$O$6,1,TRUE),M16&lt;=VLOOKUP(M16,データ!$K$3:$O$6,2,TRUE)),VLOOKUP(M16,データ!$K$3:$O$6,4,TRUE),"")</f>
        <v>0.70833333333333337</v>
      </c>
      <c r="H16" s="256">
        <f>INDEX(データ!L$21:N$24,MATCH(配置表!E16,データ!K$21:K$24,0),MATCH(配置表!G16,データ!L$20:N$20,0))</f>
        <v>1</v>
      </c>
      <c r="I16" s="52" t="str">
        <f>IF(ISERROR(VLOOKUP(M16,データ!$A$3:$C$20,3,FALSE)),"",VLOOKUP(M16,データ!$A$3:$C$20,3,FALSE))</f>
        <v/>
      </c>
      <c r="J16" s="52" t="str">
        <f t="shared" si="3"/>
        <v/>
      </c>
      <c r="K16" s="53">
        <f t="shared" si="12"/>
        <v>0</v>
      </c>
      <c r="L16" s="28" t="str">
        <f t="shared" si="0"/>
        <v/>
      </c>
      <c r="M16" s="9">
        <f t="shared" si="13"/>
        <v>45757</v>
      </c>
      <c r="N16" s="10" t="str">
        <f t="shared" si="4"/>
        <v>木</v>
      </c>
      <c r="O16" s="62" t="str">
        <f>IF(AND(M16&gt;=VLOOKUP(M16,データ!$E$3:$G$9,1,TRUE),M16&lt;=VLOOKUP(M16,データ!$E$3:$G$9,2,TRUE)),VLOOKUP(M16,データ!$E$3:$G$9,3,TRUE),"")</f>
        <v>春　特別展</v>
      </c>
      <c r="P16" s="63" t="str">
        <f>IF(AND(M16&gt;=VLOOKUP(M16,データ!$E$14:$G$21,1,TRUE),M16&lt;=VLOOKUP(M16,データ!$E$14:$G$21,2,TRUE)),VLOOKUP(M16,データ!$E$14:$G$21,3,TRUE),"")</f>
        <v>テーマ展</v>
      </c>
      <c r="Q16" s="44" t="str">
        <f t="shared" si="5"/>
        <v>○</v>
      </c>
      <c r="R16" s="45"/>
      <c r="S16" s="33" t="str">
        <f t="shared" si="17"/>
        <v/>
      </c>
      <c r="T16" s="45"/>
      <c r="U16" s="33" t="str">
        <f t="shared" si="7"/>
        <v>●</v>
      </c>
      <c r="V16" s="32"/>
      <c r="W16" s="10" t="str">
        <f t="shared" si="18"/>
        <v>○</v>
      </c>
      <c r="X16" s="32"/>
      <c r="Y16" s="33" t="str">
        <f t="shared" si="9"/>
        <v>○</v>
      </c>
      <c r="Z16" s="32">
        <f>IF(L16="閉","",(IF(AND(M16&gt;=VLOOKUP(M16,データ!$E$3:$G$9,1,TRUE),M16&lt;=VLOOKUP(M16,データ!$E$3:$G$9,2,TRUE)),VLOOKUP(M16,データ!$E$3:$H$9,4,TRUE),0)+IF(AND(M16&gt;=VLOOKUP(M16,データ!$E$14:$G$21,1,TRUE),M16&lt;=VLOOKUP(M16,データ!$E$14:$G$21,2,TRUE)),VLOOKUP(M16,データ!$E$14:$H$21,4,TRUE),0)))</f>
        <v>5</v>
      </c>
      <c r="AA16" s="33" t="str">
        <f t="shared" si="10"/>
        <v>○</v>
      </c>
      <c r="AB16" s="227">
        <f t="shared" si="11"/>
        <v>0.41666666666666669</v>
      </c>
      <c r="AC16" s="227">
        <f t="shared" si="14"/>
        <v>0.70833333333333337</v>
      </c>
      <c r="AD16" s="228" t="str">
        <f>IF(K16=1,IF(ISERROR(VLOOKUP(M16,データ!$A$3:$C$23,2,FALSE)),"",VLOOKUP(M16,データ!$A$3:$C$23,2,FALSE)),(IF(ISERROR(VLOOKUP(M16,データ!$A$3:$C$23,2,FALSE)),"",VLOOKUP(M16,データ!$A$3:$C$23,2,FALSE))))</f>
        <v/>
      </c>
    </row>
    <row r="17" spans="1:30">
      <c r="A17" s="1">
        <f>IF(AND(M17&gt;=VLOOKUP(M17,データ!$K$3:$O$6,1,TRUE),M17&lt;=VLOOKUP(M17,データ!$K$3:$O$6,2,TRUE)),VLOOKUP(M17,データ!$K$3:$O$6,5,TRUE),"")</f>
        <v>1</v>
      </c>
      <c r="B17" s="74">
        <f>IF(AND(M17&gt;=VLOOKUP(M17,データ!$K$3:$O$6,1,TRUE),M17&lt;=VLOOKUP(M17,データ!$K$3:$O$6,2,TRUE)),VLOOKUP(M17,データ!$K$3:$O$6,3,TRUE),"")</f>
        <v>0.41666666666666669</v>
      </c>
      <c r="C17" s="1">
        <f>IF(AND(M17&gt;=VLOOKUP(M17,データ!$K$11:$O$16,1,TRUE),M17&lt;=VLOOKUP(M17,データ!$K$11:$O$16,2,TRUE)),VLOOKUP(M17,データ!$K$11:$O$16,5,TRUE),0)</f>
        <v>0</v>
      </c>
      <c r="D17" s="74" t="str">
        <f>IF(AND(M17&gt;=VLOOKUP(M17,データ!$K$11:$O$16,1,TRUE),M17&lt;=VLOOKUP(M17,データ!$K$11:$O$16,2,TRUE)),VLOOKUP(M17,データ!$K$11:$O$16,3,TRUE),"")</f>
        <v/>
      </c>
      <c r="E17" s="74">
        <f t="shared" si="2"/>
        <v>0.41666666666666669</v>
      </c>
      <c r="F17" s="75">
        <f>VLOOKUP(E17,データ!$K$20:$O$24,5,FALSE)</f>
        <v>0</v>
      </c>
      <c r="G17" s="74">
        <f>IF(AND(M17&gt;=VLOOKUP(M17,データ!$K$3:$O$6,1,TRUE),M17&lt;=VLOOKUP(M17,データ!$K$3:$O$6,2,TRUE)),VLOOKUP(M17,データ!$K$3:$O$6,4,TRUE),"")</f>
        <v>0.70833333333333337</v>
      </c>
      <c r="H17" s="256">
        <f>INDEX(データ!L$21:N$24,MATCH(配置表!E17,データ!K$21:K$24,0),MATCH(配置表!G17,データ!L$20:N$20,0))</f>
        <v>1</v>
      </c>
      <c r="I17" s="52" t="str">
        <f>IF(ISERROR(VLOOKUP(M17,データ!$A$3:$C$20,3,FALSE)),"",VLOOKUP(M17,データ!$A$3:$C$20,3,FALSE))</f>
        <v/>
      </c>
      <c r="J17" s="52" t="str">
        <f t="shared" si="3"/>
        <v/>
      </c>
      <c r="K17" s="53">
        <f t="shared" si="12"/>
        <v>0</v>
      </c>
      <c r="L17" s="28" t="str">
        <f t="shared" si="0"/>
        <v/>
      </c>
      <c r="M17" s="9">
        <f t="shared" si="13"/>
        <v>45758</v>
      </c>
      <c r="N17" s="10" t="str">
        <f t="shared" si="4"/>
        <v>金</v>
      </c>
      <c r="O17" s="62" t="str">
        <f>IF(AND(M17&gt;=VLOOKUP(M17,データ!$E$3:$G$9,1,TRUE),M17&lt;=VLOOKUP(M17,データ!$E$3:$G$9,2,TRUE)),VLOOKUP(M17,データ!$E$3:$G$9,3,TRUE),"")</f>
        <v>春　特別展</v>
      </c>
      <c r="P17" s="63" t="str">
        <f>IF(AND(M17&gt;=VLOOKUP(M17,データ!$E$14:$G$21,1,TRUE),M17&lt;=VLOOKUP(M17,データ!$E$14:$G$21,2,TRUE)),VLOOKUP(M17,データ!$E$14:$G$21,3,TRUE),"")</f>
        <v>テーマ展</v>
      </c>
      <c r="Q17" s="44" t="str">
        <f t="shared" si="5"/>
        <v>○</v>
      </c>
      <c r="R17" s="45"/>
      <c r="S17" s="33" t="str">
        <f t="shared" si="17"/>
        <v/>
      </c>
      <c r="T17" s="45"/>
      <c r="U17" s="33" t="str">
        <f t="shared" si="7"/>
        <v>●</v>
      </c>
      <c r="V17" s="32"/>
      <c r="W17" s="10" t="str">
        <f t="shared" si="18"/>
        <v>○</v>
      </c>
      <c r="X17" s="32"/>
      <c r="Y17" s="33" t="str">
        <f t="shared" si="9"/>
        <v>○</v>
      </c>
      <c r="Z17" s="32">
        <f>IF(L17="閉","",(IF(AND(M17&gt;=VLOOKUP(M17,データ!$E$3:$G$9,1,TRUE),M17&lt;=VLOOKUP(M17,データ!$E$3:$G$9,2,TRUE)),VLOOKUP(M17,データ!$E$3:$H$9,4,TRUE),0)+IF(AND(M17&gt;=VLOOKUP(M17,データ!$E$14:$G$21,1,TRUE),M17&lt;=VLOOKUP(M17,データ!$E$14:$G$21,2,TRUE)),VLOOKUP(M17,データ!$E$14:$H$21,4,TRUE),0)))</f>
        <v>5</v>
      </c>
      <c r="AA17" s="33" t="str">
        <f t="shared" si="10"/>
        <v>○</v>
      </c>
      <c r="AB17" s="227">
        <f t="shared" si="11"/>
        <v>0.41666666666666669</v>
      </c>
      <c r="AC17" s="227">
        <f t="shared" si="14"/>
        <v>0.70833333333333337</v>
      </c>
      <c r="AD17" s="228" t="str">
        <f>IF(K17=1,IF(ISERROR(VLOOKUP(M17,データ!$A$3:$C$23,2,FALSE)),"",VLOOKUP(M17,データ!$A$3:$C$23,2,FALSE)),(IF(ISERROR(VLOOKUP(M17,データ!$A$3:$C$23,2,FALSE)),"",VLOOKUP(M17,データ!$A$3:$C$23,2,FALSE))))</f>
        <v/>
      </c>
    </row>
    <row r="18" spans="1:30">
      <c r="A18" s="1">
        <f>IF(AND(M18&gt;=VLOOKUP(M18,データ!$K$3:$O$6,1,TRUE),M18&lt;=VLOOKUP(M18,データ!$K$3:$O$6,2,TRUE)),VLOOKUP(M18,データ!$K$3:$O$6,5,TRUE),"")</f>
        <v>1</v>
      </c>
      <c r="B18" s="74">
        <f>IF(AND(M18&gt;=VLOOKUP(M18,データ!$K$3:$O$6,1,TRUE),M18&lt;=VLOOKUP(M18,データ!$K$3:$O$6,2,TRUE)),VLOOKUP(M18,データ!$K$3:$O$6,3,TRUE),"")</f>
        <v>0.41666666666666669</v>
      </c>
      <c r="C18" s="1">
        <f>IF(AND(M18&gt;=VLOOKUP(M18,データ!$K$11:$O$16,1,TRUE),M18&lt;=VLOOKUP(M18,データ!$K$11:$O$16,2,TRUE)),VLOOKUP(M18,データ!$K$11:$O$16,5,TRUE),0)</f>
        <v>0</v>
      </c>
      <c r="D18" s="74" t="str">
        <f>IF(AND(M18&gt;=VLOOKUP(M18,データ!$K$11:$O$16,1,TRUE),M18&lt;=VLOOKUP(M18,データ!$K$11:$O$16,2,TRUE)),VLOOKUP(M18,データ!$K$11:$O$16,3,TRUE),"")</f>
        <v/>
      </c>
      <c r="E18" s="74">
        <f t="shared" si="2"/>
        <v>0.41666666666666669</v>
      </c>
      <c r="F18" s="75">
        <f>VLOOKUP(E18,データ!$K$20:$O$24,5,FALSE)</f>
        <v>0</v>
      </c>
      <c r="G18" s="74">
        <f>IF(AND(M18&gt;=VLOOKUP(M18,データ!$K$3:$O$6,1,TRUE),M18&lt;=VLOOKUP(M18,データ!$K$3:$O$6,2,TRUE)),VLOOKUP(M18,データ!$K$3:$O$6,4,TRUE),"")</f>
        <v>0.70833333333333337</v>
      </c>
      <c r="H18" s="256">
        <f>INDEX(データ!L$21:N$24,MATCH(配置表!E18,データ!K$21:K$24,0),MATCH(配置表!G18,データ!L$20:N$20,0))</f>
        <v>1</v>
      </c>
      <c r="I18" s="52" t="str">
        <f>IF(ISERROR(VLOOKUP(M18,データ!$A$3:$C$20,3,FALSE)),"",VLOOKUP(M18,データ!$A$3:$C$20,3,FALSE))</f>
        <v/>
      </c>
      <c r="J18" s="52" t="str">
        <f t="shared" si="3"/>
        <v/>
      </c>
      <c r="K18" s="53">
        <f t="shared" si="12"/>
        <v>0</v>
      </c>
      <c r="L18" s="28" t="str">
        <f t="shared" si="0"/>
        <v/>
      </c>
      <c r="M18" s="9">
        <f t="shared" si="13"/>
        <v>45759</v>
      </c>
      <c r="N18" s="10" t="str">
        <f t="shared" si="4"/>
        <v>土</v>
      </c>
      <c r="O18" s="62" t="str">
        <f>IF(AND(M18&gt;=VLOOKUP(M18,データ!$E$3:$G$9,1,TRUE),M18&lt;=VLOOKUP(M18,データ!$E$3:$G$9,2,TRUE)),VLOOKUP(M18,データ!$E$3:$G$9,3,TRUE),"")</f>
        <v>春　特別展</v>
      </c>
      <c r="P18" s="63" t="str">
        <f>IF(AND(M18&gt;=VLOOKUP(M18,データ!$E$14:$G$21,1,TRUE),M18&lt;=VLOOKUP(M18,データ!$E$14:$G$21,2,TRUE)),VLOOKUP(M18,データ!$E$14:$G$21,3,TRUE),"")</f>
        <v>テーマ展</v>
      </c>
      <c r="Q18" s="44" t="str">
        <f t="shared" si="5"/>
        <v>○</v>
      </c>
      <c r="R18" s="45"/>
      <c r="S18" s="10" t="str">
        <f t="shared" si="15"/>
        <v>○</v>
      </c>
      <c r="T18" s="45"/>
      <c r="U18" s="33" t="str">
        <f t="shared" si="7"/>
        <v>●</v>
      </c>
      <c r="V18" s="32"/>
      <c r="W18" s="33" t="str">
        <f>IF(L18="閉","休",IF(O18="","",IF(OR(N18="土",N18="日",I18=1),IF(OR(O18="ダミー　特別展",O18="ダミー　特別展"),"◎",IF(OR(O18="夏　特別展",O18="秋　特別展",O18="春　特別展"),"◎","")),"")))</f>
        <v>◎</v>
      </c>
      <c r="X18" s="32"/>
      <c r="Y18" s="33" t="str">
        <f t="shared" si="9"/>
        <v>○</v>
      </c>
      <c r="Z18" s="32">
        <f>IF(L18="閉","",(IF(AND(M18&gt;=VLOOKUP(M18,データ!$E$3:$G$9,1,TRUE),M18&lt;=VLOOKUP(M18,データ!$E$3:$G$9,2,TRUE)),VLOOKUP(M18,データ!$E$3:$H$9,4,TRUE),0)+IF(AND(M18&gt;=VLOOKUP(M18,データ!$E$14:$G$21,1,TRUE),M18&lt;=VLOOKUP(M18,データ!$E$14:$G$21,2,TRUE)),VLOOKUP(M18,データ!$E$14:$H$21,4,TRUE),0)))</f>
        <v>5</v>
      </c>
      <c r="AA18" s="33" t="str">
        <f t="shared" si="10"/>
        <v>○</v>
      </c>
      <c r="AB18" s="227">
        <f t="shared" si="11"/>
        <v>0.41666666666666669</v>
      </c>
      <c r="AC18" s="227">
        <f t="shared" si="14"/>
        <v>0.70833333333333337</v>
      </c>
      <c r="AD18" s="228" t="str">
        <f>IF(K18=1,IF(ISERROR(VLOOKUP(M18,データ!$A$3:$C$23,2,FALSE)),"",VLOOKUP(M18,データ!$A$3:$C$23,2,FALSE)),(IF(ISERROR(VLOOKUP(M18,データ!$A$3:$C$23,2,FALSE)),"",VLOOKUP(M18,データ!$A$3:$C$23,2,FALSE))))</f>
        <v/>
      </c>
    </row>
    <row r="19" spans="1:30">
      <c r="A19" s="1">
        <f>IF(AND(M19&gt;=VLOOKUP(M19,データ!$K$3:$O$6,1,TRUE),M19&lt;=VLOOKUP(M19,データ!$K$3:$O$6,2,TRUE)),VLOOKUP(M19,データ!$K$3:$O$6,5,TRUE),"")</f>
        <v>1</v>
      </c>
      <c r="B19" s="74">
        <f>IF(AND(M19&gt;=VLOOKUP(M19,データ!$K$3:$O$6,1,TRUE),M19&lt;=VLOOKUP(M19,データ!$K$3:$O$6,2,TRUE)),VLOOKUP(M19,データ!$K$3:$O$6,3,TRUE),"")</f>
        <v>0.41666666666666669</v>
      </c>
      <c r="C19" s="1">
        <f>IF(AND(M19&gt;=VLOOKUP(M19,データ!$K$11:$O$16,1,TRUE),M19&lt;=VLOOKUP(M19,データ!$K$11:$O$16,2,TRUE)),VLOOKUP(M19,データ!$K$11:$O$16,5,TRUE),0)</f>
        <v>0</v>
      </c>
      <c r="D19" s="74" t="str">
        <f>IF(AND(M19&gt;=VLOOKUP(M19,データ!$K$11:$O$16,1,TRUE),M19&lt;=VLOOKUP(M19,データ!$K$11:$O$16,2,TRUE)),VLOOKUP(M19,データ!$K$11:$O$16,3,TRUE),"")</f>
        <v/>
      </c>
      <c r="E19" s="74">
        <f t="shared" si="2"/>
        <v>0.41666666666666669</v>
      </c>
      <c r="F19" s="75">
        <f>VLOOKUP(E19,データ!$K$20:$O$24,5,FALSE)</f>
        <v>0</v>
      </c>
      <c r="G19" s="74">
        <f>IF(AND(M19&gt;=VLOOKUP(M19,データ!$K$3:$O$6,1,TRUE),M19&lt;=VLOOKUP(M19,データ!$K$3:$O$6,2,TRUE)),VLOOKUP(M19,データ!$K$3:$O$6,4,TRUE),"")</f>
        <v>0.70833333333333337</v>
      </c>
      <c r="H19" s="256">
        <f>INDEX(データ!L$21:N$24,MATCH(配置表!E19,データ!K$21:K$24,0),MATCH(配置表!G19,データ!L$20:N$20,0))</f>
        <v>1</v>
      </c>
      <c r="I19" s="52" t="str">
        <f>IF(ISERROR(VLOOKUP(M19,データ!$A$3:$C$20,3,FALSE)),"",VLOOKUP(M19,データ!$A$3:$C$20,3,FALSE))</f>
        <v/>
      </c>
      <c r="J19" s="52" t="str">
        <f t="shared" si="3"/>
        <v/>
      </c>
      <c r="K19" s="53">
        <f t="shared" si="12"/>
        <v>0</v>
      </c>
      <c r="L19" s="28" t="str">
        <f t="shared" si="0"/>
        <v/>
      </c>
      <c r="M19" s="9">
        <f t="shared" si="13"/>
        <v>45760</v>
      </c>
      <c r="N19" s="10" t="str">
        <f t="shared" si="4"/>
        <v>日</v>
      </c>
      <c r="O19" s="62" t="str">
        <f>IF(AND(M19&gt;=VLOOKUP(M19,データ!$E$3:$G$9,1,TRUE),M19&lt;=VLOOKUP(M19,データ!$E$3:$G$9,2,TRUE)),VLOOKUP(M19,データ!$E$3:$G$9,3,TRUE),"")</f>
        <v>春　特別展</v>
      </c>
      <c r="P19" s="63" t="str">
        <f>IF(AND(M19&gt;=VLOOKUP(M19,データ!$E$14:$G$21,1,TRUE),M19&lt;=VLOOKUP(M19,データ!$E$14:$G$21,2,TRUE)),VLOOKUP(M19,データ!$E$14:$G$21,3,TRUE),"")</f>
        <v>テーマ展</v>
      </c>
      <c r="Q19" s="44" t="str">
        <f t="shared" si="5"/>
        <v>○</v>
      </c>
      <c r="R19" s="45"/>
      <c r="S19" s="10" t="str">
        <f t="shared" si="15"/>
        <v>○</v>
      </c>
      <c r="T19" s="45"/>
      <c r="U19" s="33" t="str">
        <f t="shared" si="7"/>
        <v>●</v>
      </c>
      <c r="V19" s="32"/>
      <c r="W19" s="33" t="str">
        <f>IF(L19="閉","休",IF(O19="","",IF(OR(N19="土",N19="日",I19=1),IF(OR(O19="ダミー　特別展",O19="ダミー　特別展"),"◎",IF(OR(O19="夏　特別展",O19="秋　特別展",O19="春　特別展"),"◎","")),"")))</f>
        <v>◎</v>
      </c>
      <c r="X19" s="32"/>
      <c r="Y19" s="33" t="str">
        <f t="shared" si="9"/>
        <v>○</v>
      </c>
      <c r="Z19" s="32">
        <f>IF(L19="閉","",(IF(AND(M19&gt;=VLOOKUP(M19,データ!$E$3:$G$9,1,TRUE),M19&lt;=VLOOKUP(M19,データ!$E$3:$G$9,2,TRUE)),VLOOKUP(M19,データ!$E$3:$H$9,4,TRUE),0)+IF(AND(M19&gt;=VLOOKUP(M19,データ!$E$14:$G$21,1,TRUE),M19&lt;=VLOOKUP(M19,データ!$E$14:$G$21,2,TRUE)),VLOOKUP(M19,データ!$E$14:$H$21,4,TRUE),0)))</f>
        <v>5</v>
      </c>
      <c r="AA19" s="33" t="str">
        <f t="shared" si="10"/>
        <v>○</v>
      </c>
      <c r="AB19" s="227">
        <f t="shared" si="11"/>
        <v>0.41666666666666669</v>
      </c>
      <c r="AC19" s="227">
        <f t="shared" si="14"/>
        <v>0.70833333333333337</v>
      </c>
      <c r="AD19" s="228" t="str">
        <f>IF(K19=1,IF(ISERROR(VLOOKUP(M19,データ!$A$3:$C$23,2,FALSE)),"",VLOOKUP(M19,データ!$A$3:$C$23,2,FALSE)),(IF(ISERROR(VLOOKUP(M19,データ!$A$3:$C$23,2,FALSE)),"",VLOOKUP(M19,データ!$A$3:$C$23,2,FALSE))))</f>
        <v/>
      </c>
    </row>
    <row r="20" spans="1:30">
      <c r="A20" s="1">
        <f>IF(AND(M20&gt;=VLOOKUP(M20,データ!$K$3:$O$6,1,TRUE),M20&lt;=VLOOKUP(M20,データ!$K$3:$O$6,2,TRUE)),VLOOKUP(M20,データ!$K$3:$O$6,5,TRUE),"")</f>
        <v>1</v>
      </c>
      <c r="B20" s="74">
        <f>IF(AND(M20&gt;=VLOOKUP(M20,データ!$K$3:$O$6,1,TRUE),M20&lt;=VLOOKUP(M20,データ!$K$3:$O$6,2,TRUE)),VLOOKUP(M20,データ!$K$3:$O$6,3,TRUE),"")</f>
        <v>0.41666666666666669</v>
      </c>
      <c r="C20" s="1">
        <f>IF(AND(M20&gt;=VLOOKUP(M20,データ!$K$11:$O$16,1,TRUE),M20&lt;=VLOOKUP(M20,データ!$K$11:$O$16,2,TRUE)),VLOOKUP(M20,データ!$K$11:$O$16,5,TRUE),0)</f>
        <v>0</v>
      </c>
      <c r="D20" s="74" t="str">
        <f>IF(AND(M20&gt;=VLOOKUP(M20,データ!$K$11:$O$16,1,TRUE),M20&lt;=VLOOKUP(M20,データ!$K$11:$O$16,2,TRUE)),VLOOKUP(M20,データ!$K$11:$O$16,3,TRUE),"")</f>
        <v/>
      </c>
      <c r="E20" s="74">
        <f t="shared" si="2"/>
        <v>0.41666666666666669</v>
      </c>
      <c r="F20" s="75">
        <f>VLOOKUP(E20,データ!$K$20:$O$24,5,FALSE)</f>
        <v>0</v>
      </c>
      <c r="G20" s="74">
        <f>IF(AND(M20&gt;=VLOOKUP(M20,データ!$K$3:$O$6,1,TRUE),M20&lt;=VLOOKUP(M20,データ!$K$3:$O$6,2,TRUE)),VLOOKUP(M20,データ!$K$3:$O$6,4,TRUE),"")</f>
        <v>0.70833333333333337</v>
      </c>
      <c r="H20" s="256">
        <f>INDEX(データ!L$21:N$24,MATCH(配置表!E20,データ!K$21:K$24,0),MATCH(配置表!G20,データ!L$20:N$20,0))</f>
        <v>1</v>
      </c>
      <c r="I20" s="52" t="str">
        <f>IF(ISERROR(VLOOKUP(M20,データ!$A$3:$C$20,3,FALSE)),"",VLOOKUP(M20,データ!$A$3:$C$20,3,FALSE))</f>
        <v/>
      </c>
      <c r="J20" s="52">
        <f t="shared" si="3"/>
        <v>1</v>
      </c>
      <c r="K20" s="53">
        <f t="shared" si="12"/>
        <v>1</v>
      </c>
      <c r="L20" s="28" t="str">
        <f t="shared" si="0"/>
        <v>閉</v>
      </c>
      <c r="M20" s="9">
        <f t="shared" si="13"/>
        <v>45761</v>
      </c>
      <c r="N20" s="10" t="str">
        <f t="shared" si="4"/>
        <v>月</v>
      </c>
      <c r="O20" s="62" t="str">
        <f>IF(AND(M20&gt;=VLOOKUP(M20,データ!$E$3:$G$9,1,TRUE),M20&lt;=VLOOKUP(M20,データ!$E$3:$G$9,2,TRUE)),VLOOKUP(M20,データ!$E$3:$G$9,3,TRUE),"")</f>
        <v>春　特別展</v>
      </c>
      <c r="P20" s="63" t="str">
        <f>IF(AND(M20&gt;=VLOOKUP(M20,データ!$E$14:$G$21,1,TRUE),M20&lt;=VLOOKUP(M20,データ!$E$14:$G$21,2,TRUE)),VLOOKUP(M20,データ!$E$14:$G$21,3,TRUE),"")</f>
        <v>テーマ展</v>
      </c>
      <c r="Q20" s="44" t="str">
        <f t="shared" si="5"/>
        <v>休</v>
      </c>
      <c r="R20" s="32"/>
      <c r="S20" s="33" t="str">
        <f t="shared" si="15"/>
        <v>休</v>
      </c>
      <c r="T20" s="32"/>
      <c r="U20" s="33" t="str">
        <f t="shared" si="7"/>
        <v>休</v>
      </c>
      <c r="V20" s="32"/>
      <c r="W20" s="33" t="str">
        <f t="shared" si="16"/>
        <v>休</v>
      </c>
      <c r="X20" s="32"/>
      <c r="Y20" s="33" t="str">
        <f t="shared" si="9"/>
        <v>休</v>
      </c>
      <c r="Z20" s="32" t="str">
        <f>IF(L20="閉","",(IF(AND(M20&gt;=VLOOKUP(M20,データ!$E$3:$G$9,1,TRUE),M20&lt;=VLOOKUP(M20,データ!$E$3:$G$9,2,TRUE)),VLOOKUP(M20,データ!$E$3:$H$9,4,TRUE),0)+IF(AND(M20&gt;=VLOOKUP(M20,データ!$E$14:$G$21,1,TRUE),M20&lt;=VLOOKUP(M20,データ!$E$14:$G$21,2,TRUE)),VLOOKUP(M20,データ!$E$14:$H$21,4,TRUE),0)))</f>
        <v/>
      </c>
      <c r="AA20" s="33" t="str">
        <f t="shared" si="10"/>
        <v>休</v>
      </c>
      <c r="AB20" s="227" t="str">
        <f t="shared" si="11"/>
        <v/>
      </c>
      <c r="AC20" s="227" t="str">
        <f t="shared" si="14"/>
        <v/>
      </c>
      <c r="AD20" s="228" t="str">
        <f>IF(K20=1,IF(ISERROR(VLOOKUP(M20,データ!$A$3:$C$23,2,FALSE)),"",VLOOKUP(M20,データ!$A$3:$C$23,2,FALSE)),(IF(ISERROR(VLOOKUP(M20,データ!$A$3:$C$23,2,FALSE)),"",VLOOKUP(M20,データ!$A$3:$C$23,2,FALSE))))</f>
        <v/>
      </c>
    </row>
    <row r="21" spans="1:30">
      <c r="A21" s="1">
        <f>IF(AND(M21&gt;=VLOOKUP(M21,データ!$K$3:$O$6,1,TRUE),M21&lt;=VLOOKUP(M21,データ!$K$3:$O$6,2,TRUE)),VLOOKUP(M21,データ!$K$3:$O$6,5,TRUE),"")</f>
        <v>1</v>
      </c>
      <c r="B21" s="74">
        <f>IF(AND(M21&gt;=VLOOKUP(M21,データ!$K$3:$O$6,1,TRUE),M21&lt;=VLOOKUP(M21,データ!$K$3:$O$6,2,TRUE)),VLOOKUP(M21,データ!$K$3:$O$6,3,TRUE),"")</f>
        <v>0.41666666666666669</v>
      </c>
      <c r="C21" s="1">
        <f>IF(AND(M21&gt;=VLOOKUP(M21,データ!$K$11:$O$16,1,TRUE),M21&lt;=VLOOKUP(M21,データ!$K$11:$O$16,2,TRUE)),VLOOKUP(M21,データ!$K$11:$O$16,5,TRUE),0)</f>
        <v>0</v>
      </c>
      <c r="D21" s="74" t="str">
        <f>IF(AND(M21&gt;=VLOOKUP(M21,データ!$K$11:$O$16,1,TRUE),M21&lt;=VLOOKUP(M21,データ!$K$11:$O$16,2,TRUE)),VLOOKUP(M21,データ!$K$11:$O$16,3,TRUE),"")</f>
        <v/>
      </c>
      <c r="E21" s="74">
        <f t="shared" si="2"/>
        <v>0.41666666666666669</v>
      </c>
      <c r="F21" s="75">
        <f>VLOOKUP(E21,データ!$K$20:$O$24,5,FALSE)</f>
        <v>0</v>
      </c>
      <c r="G21" s="74">
        <f>IF(AND(M21&gt;=VLOOKUP(M21,データ!$K$3:$O$6,1,TRUE),M21&lt;=VLOOKUP(M21,データ!$K$3:$O$6,2,TRUE)),VLOOKUP(M21,データ!$K$3:$O$6,4,TRUE),"")</f>
        <v>0.70833333333333337</v>
      </c>
      <c r="H21" s="256">
        <f>INDEX(データ!L$21:N$24,MATCH(配置表!E21,データ!K$21:K$24,0),MATCH(配置表!G21,データ!L$20:N$20,0))</f>
        <v>1</v>
      </c>
      <c r="I21" s="52" t="str">
        <f>IF(ISERROR(VLOOKUP(M21,データ!$A$3:$C$20,3,FALSE)),"",VLOOKUP(M21,データ!$A$3:$C$20,3,FALSE))</f>
        <v/>
      </c>
      <c r="J21" s="52" t="str">
        <f t="shared" si="3"/>
        <v/>
      </c>
      <c r="K21" s="53">
        <f t="shared" si="12"/>
        <v>0</v>
      </c>
      <c r="L21" s="28" t="str">
        <f t="shared" si="0"/>
        <v/>
      </c>
      <c r="M21" s="9">
        <f t="shared" si="13"/>
        <v>45762</v>
      </c>
      <c r="N21" s="10" t="str">
        <f t="shared" si="4"/>
        <v>火</v>
      </c>
      <c r="O21" s="62" t="str">
        <f>IF(AND(M21&gt;=VLOOKUP(M21,データ!$E$3:$G$9,1,TRUE),M21&lt;=VLOOKUP(M21,データ!$E$3:$G$9,2,TRUE)),VLOOKUP(M21,データ!$E$3:$G$9,3,TRUE),"")</f>
        <v>春　特別展</v>
      </c>
      <c r="P21" s="63" t="str">
        <f>IF(AND(M21&gt;=VLOOKUP(M21,データ!$E$14:$G$21,1,TRUE),M21&lt;=VLOOKUP(M21,データ!$E$14:$G$21,2,TRUE)),VLOOKUP(M21,データ!$E$14:$G$21,3,TRUE),"")</f>
        <v>テーマ展</v>
      </c>
      <c r="Q21" s="44" t="str">
        <f t="shared" si="5"/>
        <v>○</v>
      </c>
      <c r="R21" s="45"/>
      <c r="S21" s="33" t="str">
        <f>IF(H21="閉","休",IF(K21="","",IF(OR(J21="土",J21="日",E21=1),IF(OR(K21="ダミー　特別展",K21="ダミー　特別展"),"◎",IF(OR(K21="夏　特別展",K21="秋　特別展",K21="春　特別展"),"○","")),"")))</f>
        <v/>
      </c>
      <c r="T21" s="45"/>
      <c r="U21" s="33" t="str">
        <f t="shared" ref="U21:U26" si="19">IF(L21="閉","休",IF(S21="","●","●"))</f>
        <v>●</v>
      </c>
      <c r="V21" s="32"/>
      <c r="W21" s="10" t="str">
        <f>IF(P21="閉","休",IF(O21="","",IF(O21="冬　特別展",IF(OR(N21="土",N21="日",M21=1),"○",""),"○")))</f>
        <v>○</v>
      </c>
      <c r="X21" s="32"/>
      <c r="Y21" s="33" t="str">
        <f t="shared" si="9"/>
        <v>○</v>
      </c>
      <c r="Z21" s="32">
        <f>IF(L21="閉","",(IF(AND(M21&gt;=VLOOKUP(M21,データ!$E$3:$G$9,1,TRUE),M21&lt;=VLOOKUP(M21,データ!$E$3:$G$9,2,TRUE)),VLOOKUP(M21,データ!$E$3:$H$9,4,TRUE),0)+IF(AND(M21&gt;=VLOOKUP(M21,データ!$E$14:$G$21,1,TRUE),M21&lt;=VLOOKUP(M21,データ!$E$14:$G$21,2,TRUE)),VLOOKUP(M21,データ!$E$14:$H$21,4,TRUE),0)))</f>
        <v>5</v>
      </c>
      <c r="AA21" s="33" t="str">
        <f t="shared" si="10"/>
        <v>○</v>
      </c>
      <c r="AB21" s="227">
        <f t="shared" si="11"/>
        <v>0.41666666666666669</v>
      </c>
      <c r="AC21" s="227">
        <f t="shared" si="14"/>
        <v>0.70833333333333337</v>
      </c>
      <c r="AD21" s="228" t="str">
        <f>IF(K21=1,IF(ISERROR(VLOOKUP(M21,データ!$A$3:$C$23,2,FALSE)),"",VLOOKUP(M21,データ!$A$3:$C$23,2,FALSE)),(IF(ISERROR(VLOOKUP(M21,データ!$A$3:$C$23,2,FALSE)),"",VLOOKUP(M21,データ!$A$3:$C$23,2,FALSE))))</f>
        <v/>
      </c>
    </row>
    <row r="22" spans="1:30">
      <c r="A22" s="1">
        <f>IF(AND(M22&gt;=VLOOKUP(M22,データ!$K$3:$O$6,1,TRUE),M22&lt;=VLOOKUP(M22,データ!$K$3:$O$6,2,TRUE)),VLOOKUP(M22,データ!$K$3:$O$6,5,TRUE),"")</f>
        <v>1</v>
      </c>
      <c r="B22" s="74">
        <f>IF(AND(M22&gt;=VLOOKUP(M22,データ!$K$3:$O$6,1,TRUE),M22&lt;=VLOOKUP(M22,データ!$K$3:$O$6,2,TRUE)),VLOOKUP(M22,データ!$K$3:$O$6,3,TRUE),"")</f>
        <v>0.41666666666666669</v>
      </c>
      <c r="C22" s="1">
        <f>IF(AND(M22&gt;=VLOOKUP(M22,データ!$K$11:$O$16,1,TRUE),M22&lt;=VLOOKUP(M22,データ!$K$11:$O$16,2,TRUE)),VLOOKUP(M22,データ!$K$11:$O$16,5,TRUE),0)</f>
        <v>0</v>
      </c>
      <c r="D22" s="74" t="str">
        <f>IF(AND(M22&gt;=VLOOKUP(M22,データ!$K$11:$O$16,1,TRUE),M22&lt;=VLOOKUP(M22,データ!$K$11:$O$16,2,TRUE)),VLOOKUP(M22,データ!$K$11:$O$16,3,TRUE),"")</f>
        <v/>
      </c>
      <c r="E22" s="74">
        <f t="shared" si="2"/>
        <v>0.41666666666666669</v>
      </c>
      <c r="F22" s="75">
        <f>VLOOKUP(E22,データ!$K$20:$O$24,5,FALSE)</f>
        <v>0</v>
      </c>
      <c r="G22" s="74">
        <f>IF(AND(M22&gt;=VLOOKUP(M22,データ!$K$3:$O$6,1,TRUE),M22&lt;=VLOOKUP(M22,データ!$K$3:$O$6,2,TRUE)),VLOOKUP(M22,データ!$K$3:$O$6,4,TRUE),"")</f>
        <v>0.70833333333333337</v>
      </c>
      <c r="H22" s="256">
        <f>INDEX(データ!L$21:N$24,MATCH(配置表!E22,データ!K$21:K$24,0),MATCH(配置表!G22,データ!L$20:N$20,0))</f>
        <v>1</v>
      </c>
      <c r="I22" s="52" t="str">
        <f>IF(ISERROR(VLOOKUP(M22,データ!$A$3:$C$20,3,FALSE)),"",VLOOKUP(M22,データ!$A$3:$C$20,3,FALSE))</f>
        <v/>
      </c>
      <c r="J22" s="52" t="str">
        <f t="shared" si="3"/>
        <v/>
      </c>
      <c r="K22" s="53">
        <f t="shared" si="12"/>
        <v>0</v>
      </c>
      <c r="L22" s="28" t="str">
        <f t="shared" si="0"/>
        <v/>
      </c>
      <c r="M22" s="9">
        <f t="shared" si="13"/>
        <v>45763</v>
      </c>
      <c r="N22" s="10" t="str">
        <f t="shared" si="4"/>
        <v>水</v>
      </c>
      <c r="O22" s="62" t="str">
        <f>IF(AND(M22&gt;=VLOOKUP(M22,データ!$E$3:$G$9,1,TRUE),M22&lt;=VLOOKUP(M22,データ!$E$3:$G$9,2,TRUE)),VLOOKUP(M22,データ!$E$3:$G$9,3,TRUE),"")</f>
        <v>春　特別展</v>
      </c>
      <c r="P22" s="63" t="str">
        <f>IF(AND(M22&gt;=VLOOKUP(M22,データ!$E$14:$G$21,1,TRUE),M22&lt;=VLOOKUP(M22,データ!$E$14:$G$21,2,TRUE)),VLOOKUP(M22,データ!$E$14:$G$21,3,TRUE),"")</f>
        <v>テーマ展</v>
      </c>
      <c r="Q22" s="44" t="str">
        <f t="shared" si="5"/>
        <v>○</v>
      </c>
      <c r="R22" s="45"/>
      <c r="S22" s="33" t="str">
        <f t="shared" ref="S22:S24" si="20">IF(H22="閉","休",IF(K22="","",IF(OR(J22="土",J22="日",E22=1),IF(OR(K22="ダミー　特別展",K22="ダミー　特別展"),"◎",IF(OR(K22="夏　特別展",K22="秋　特別展",K22="春　特別展"),"○","")),"")))</f>
        <v/>
      </c>
      <c r="T22" s="45"/>
      <c r="U22" s="33" t="str">
        <f t="shared" si="19"/>
        <v>●</v>
      </c>
      <c r="V22" s="32"/>
      <c r="W22" s="10" t="str">
        <f t="shared" ref="W22:W24" si="21">IF(P22="閉","休",IF(O22="","",IF(O22="冬　特別展",IF(OR(N22="土",N22="日",M22=1),"○",""),"○")))</f>
        <v>○</v>
      </c>
      <c r="X22" s="32"/>
      <c r="Y22" s="33" t="str">
        <f t="shared" si="9"/>
        <v>○</v>
      </c>
      <c r="Z22" s="32">
        <f>IF(L22="閉","",(IF(AND(M22&gt;=VLOOKUP(M22,データ!$E$3:$G$9,1,TRUE),M22&lt;=VLOOKUP(M22,データ!$E$3:$G$9,2,TRUE)),VLOOKUP(M22,データ!$E$3:$H$9,4,TRUE),0)+IF(AND(M22&gt;=VLOOKUP(M22,データ!$E$14:$G$21,1,TRUE),M22&lt;=VLOOKUP(M22,データ!$E$14:$G$21,2,TRUE)),VLOOKUP(M22,データ!$E$14:$H$21,4,TRUE),0)))</f>
        <v>5</v>
      </c>
      <c r="AA22" s="33" t="str">
        <f t="shared" si="10"/>
        <v>○</v>
      </c>
      <c r="AB22" s="227">
        <f t="shared" si="11"/>
        <v>0.41666666666666669</v>
      </c>
      <c r="AC22" s="227">
        <f t="shared" si="14"/>
        <v>0.70833333333333337</v>
      </c>
      <c r="AD22" s="228" t="str">
        <f>IF(K22=1,IF(ISERROR(VLOOKUP(M22,データ!$A$3:$C$23,2,FALSE)),"",VLOOKUP(M22,データ!$A$3:$C$23,2,FALSE)),(IF(ISERROR(VLOOKUP(M22,データ!$A$3:$C$23,2,FALSE)),"",VLOOKUP(M22,データ!$A$3:$C$23,2,FALSE))))</f>
        <v/>
      </c>
    </row>
    <row r="23" spans="1:30">
      <c r="A23" s="1">
        <f>IF(AND(M23&gt;=VLOOKUP(M23,データ!$K$3:$O$6,1,TRUE),M23&lt;=VLOOKUP(M23,データ!$K$3:$O$6,2,TRUE)),VLOOKUP(M23,データ!$K$3:$O$6,5,TRUE),"")</f>
        <v>1</v>
      </c>
      <c r="B23" s="74">
        <f>IF(AND(M23&gt;=VLOOKUP(M23,データ!$K$3:$O$6,1,TRUE),M23&lt;=VLOOKUP(M23,データ!$K$3:$O$6,2,TRUE)),VLOOKUP(M23,データ!$K$3:$O$6,3,TRUE),"")</f>
        <v>0.41666666666666669</v>
      </c>
      <c r="C23" s="1">
        <f>IF(AND(M23&gt;=VLOOKUP(M23,データ!$K$11:$O$16,1,TRUE),M23&lt;=VLOOKUP(M23,データ!$K$11:$O$16,2,TRUE)),VLOOKUP(M23,データ!$K$11:$O$16,5,TRUE),0)</f>
        <v>0</v>
      </c>
      <c r="D23" s="74" t="str">
        <f>IF(AND(M23&gt;=VLOOKUP(M23,データ!$K$11:$O$16,1,TRUE),M23&lt;=VLOOKUP(M23,データ!$K$11:$O$16,2,TRUE)),VLOOKUP(M23,データ!$K$11:$O$16,3,TRUE),"")</f>
        <v/>
      </c>
      <c r="E23" s="74">
        <f t="shared" si="2"/>
        <v>0.41666666666666669</v>
      </c>
      <c r="F23" s="75">
        <f>VLOOKUP(E23,データ!$K$20:$O$24,5,FALSE)</f>
        <v>0</v>
      </c>
      <c r="G23" s="74">
        <f>IF(AND(M23&gt;=VLOOKUP(M23,データ!$K$3:$O$6,1,TRUE),M23&lt;=VLOOKUP(M23,データ!$K$3:$O$6,2,TRUE)),VLOOKUP(M23,データ!$K$3:$O$6,4,TRUE),"")</f>
        <v>0.70833333333333337</v>
      </c>
      <c r="H23" s="256">
        <f>INDEX(データ!L$21:N$24,MATCH(配置表!E23,データ!K$21:K$24,0),MATCH(配置表!G23,データ!L$20:N$20,0))</f>
        <v>1</v>
      </c>
      <c r="I23" s="52" t="str">
        <f>IF(ISERROR(VLOOKUP(M23,データ!$A$3:$C$20,3,FALSE)),"",VLOOKUP(M23,データ!$A$3:$C$20,3,FALSE))</f>
        <v/>
      </c>
      <c r="J23" s="52" t="str">
        <f t="shared" si="3"/>
        <v/>
      </c>
      <c r="K23" s="53">
        <f t="shared" si="12"/>
        <v>0</v>
      </c>
      <c r="L23" s="28" t="str">
        <f t="shared" si="0"/>
        <v/>
      </c>
      <c r="M23" s="9">
        <f t="shared" si="13"/>
        <v>45764</v>
      </c>
      <c r="N23" s="10" t="str">
        <f t="shared" si="4"/>
        <v>木</v>
      </c>
      <c r="O23" s="62" t="str">
        <f>IF(AND(M23&gt;=VLOOKUP(M23,データ!$E$3:$G$9,1,TRUE),M23&lt;=VLOOKUP(M23,データ!$E$3:$G$9,2,TRUE)),VLOOKUP(M23,データ!$E$3:$G$9,3,TRUE),"")</f>
        <v>春　特別展</v>
      </c>
      <c r="P23" s="63" t="str">
        <f>IF(AND(M23&gt;=VLOOKUP(M23,データ!$E$14:$G$21,1,TRUE),M23&lt;=VLOOKUP(M23,データ!$E$14:$G$21,2,TRUE)),VLOOKUP(M23,データ!$E$14:$G$21,3,TRUE),"")</f>
        <v>テーマ展</v>
      </c>
      <c r="Q23" s="44" t="str">
        <f t="shared" si="5"/>
        <v>○</v>
      </c>
      <c r="R23" s="45"/>
      <c r="S23" s="33" t="str">
        <f t="shared" si="20"/>
        <v/>
      </c>
      <c r="T23" s="45"/>
      <c r="U23" s="33" t="str">
        <f t="shared" si="19"/>
        <v>●</v>
      </c>
      <c r="V23" s="32"/>
      <c r="W23" s="10" t="str">
        <f t="shared" si="21"/>
        <v>○</v>
      </c>
      <c r="X23" s="32"/>
      <c r="Y23" s="33" t="str">
        <f t="shared" si="9"/>
        <v>○</v>
      </c>
      <c r="Z23" s="32">
        <f>IF(L23="閉","",(IF(AND(M23&gt;=VLOOKUP(M23,データ!$E$3:$G$9,1,TRUE),M23&lt;=VLOOKUP(M23,データ!$E$3:$G$9,2,TRUE)),VLOOKUP(M23,データ!$E$3:$H$9,4,TRUE),0)+IF(AND(M23&gt;=VLOOKUP(M23,データ!$E$14:$G$21,1,TRUE),M23&lt;=VLOOKUP(M23,データ!$E$14:$G$21,2,TRUE)),VLOOKUP(M23,データ!$E$14:$H$21,4,TRUE),0)))</f>
        <v>5</v>
      </c>
      <c r="AA23" s="33" t="str">
        <f t="shared" si="10"/>
        <v>○</v>
      </c>
      <c r="AB23" s="227">
        <f t="shared" si="11"/>
        <v>0.41666666666666669</v>
      </c>
      <c r="AC23" s="227">
        <f t="shared" si="14"/>
        <v>0.70833333333333337</v>
      </c>
      <c r="AD23" s="228" t="str">
        <f>IF(K23=1,IF(ISERROR(VLOOKUP(M23,データ!$A$3:$C$23,2,FALSE)),"",VLOOKUP(M23,データ!$A$3:$C$23,2,FALSE)),(IF(ISERROR(VLOOKUP(M23,データ!$A$3:$C$23,2,FALSE)),"",VLOOKUP(M23,データ!$A$3:$C$23,2,FALSE))))</f>
        <v/>
      </c>
    </row>
    <row r="24" spans="1:30">
      <c r="A24" s="1">
        <f>IF(AND(M24&gt;=VLOOKUP(M24,データ!$K$3:$O$6,1,TRUE),M24&lt;=VLOOKUP(M24,データ!$K$3:$O$6,2,TRUE)),VLOOKUP(M24,データ!$K$3:$O$6,5,TRUE),"")</f>
        <v>1</v>
      </c>
      <c r="B24" s="74">
        <f>IF(AND(M24&gt;=VLOOKUP(M24,データ!$K$3:$O$6,1,TRUE),M24&lt;=VLOOKUP(M24,データ!$K$3:$O$6,2,TRUE)),VLOOKUP(M24,データ!$K$3:$O$6,3,TRUE),"")</f>
        <v>0.41666666666666669</v>
      </c>
      <c r="C24" s="1">
        <f>IF(AND(M24&gt;=VLOOKUP(M24,データ!$K$11:$O$16,1,TRUE),M24&lt;=VLOOKUP(M24,データ!$K$11:$O$16,2,TRUE)),VLOOKUP(M24,データ!$K$11:$O$16,5,TRUE),0)</f>
        <v>0</v>
      </c>
      <c r="D24" s="74" t="str">
        <f>IF(AND(M24&gt;=VLOOKUP(M24,データ!$K$11:$O$16,1,TRUE),M24&lt;=VLOOKUP(M24,データ!$K$11:$O$16,2,TRUE)),VLOOKUP(M24,データ!$K$11:$O$16,3,TRUE),"")</f>
        <v/>
      </c>
      <c r="E24" s="74">
        <f t="shared" si="2"/>
        <v>0.41666666666666669</v>
      </c>
      <c r="F24" s="75">
        <f>VLOOKUP(E24,データ!$K$20:$O$24,5,FALSE)</f>
        <v>0</v>
      </c>
      <c r="G24" s="74">
        <f>IF(AND(M24&gt;=VLOOKUP(M24,データ!$K$3:$O$6,1,TRUE),M24&lt;=VLOOKUP(M24,データ!$K$3:$O$6,2,TRUE)),VLOOKUP(M24,データ!$K$3:$O$6,4,TRUE),"")</f>
        <v>0.70833333333333337</v>
      </c>
      <c r="H24" s="256">
        <f>INDEX(データ!L$21:N$24,MATCH(配置表!E24,データ!K$21:K$24,0),MATCH(配置表!G24,データ!L$20:N$20,0))</f>
        <v>1</v>
      </c>
      <c r="I24" s="52" t="str">
        <f>IF(ISERROR(VLOOKUP(M24,データ!$A$3:$C$20,3,FALSE)),"",VLOOKUP(M24,データ!$A$3:$C$20,3,FALSE))</f>
        <v/>
      </c>
      <c r="J24" s="52" t="str">
        <f t="shared" si="3"/>
        <v/>
      </c>
      <c r="K24" s="53">
        <f t="shared" si="12"/>
        <v>0</v>
      </c>
      <c r="L24" s="28" t="str">
        <f t="shared" si="0"/>
        <v/>
      </c>
      <c r="M24" s="9">
        <f t="shared" si="13"/>
        <v>45765</v>
      </c>
      <c r="N24" s="10" t="str">
        <f t="shared" si="4"/>
        <v>金</v>
      </c>
      <c r="O24" s="62" t="str">
        <f>IF(AND(M24&gt;=VLOOKUP(M24,データ!$E$3:$G$9,1,TRUE),M24&lt;=VLOOKUP(M24,データ!$E$3:$G$9,2,TRUE)),VLOOKUP(M24,データ!$E$3:$G$9,3,TRUE),"")</f>
        <v>春　特別展</v>
      </c>
      <c r="P24" s="63" t="str">
        <f>IF(AND(M24&gt;=VLOOKUP(M24,データ!$E$14:$G$21,1,TRUE),M24&lt;=VLOOKUP(M24,データ!$E$14:$G$21,2,TRUE)),VLOOKUP(M24,データ!$E$14:$G$21,3,TRUE),"")</f>
        <v>テーマ展</v>
      </c>
      <c r="Q24" s="44" t="str">
        <f t="shared" si="5"/>
        <v>○</v>
      </c>
      <c r="R24" s="45"/>
      <c r="S24" s="33" t="str">
        <f t="shared" si="20"/>
        <v/>
      </c>
      <c r="T24" s="45"/>
      <c r="U24" s="33" t="str">
        <f t="shared" si="19"/>
        <v>●</v>
      </c>
      <c r="V24" s="32"/>
      <c r="W24" s="10" t="str">
        <f t="shared" si="21"/>
        <v>○</v>
      </c>
      <c r="X24" s="32"/>
      <c r="Y24" s="33" t="str">
        <f t="shared" si="9"/>
        <v>○</v>
      </c>
      <c r="Z24" s="32">
        <f>IF(L24="閉","",(IF(AND(M24&gt;=VLOOKUP(M24,データ!$E$3:$G$9,1,TRUE),M24&lt;=VLOOKUP(M24,データ!$E$3:$G$9,2,TRUE)),VLOOKUP(M24,データ!$E$3:$H$9,4,TRUE),0)+IF(AND(M24&gt;=VLOOKUP(M24,データ!$E$14:$G$21,1,TRUE),M24&lt;=VLOOKUP(M24,データ!$E$14:$G$21,2,TRUE)),VLOOKUP(M24,データ!$E$14:$H$21,4,TRUE),0)))</f>
        <v>5</v>
      </c>
      <c r="AA24" s="33" t="str">
        <f t="shared" si="10"/>
        <v>○</v>
      </c>
      <c r="AB24" s="227">
        <f t="shared" si="11"/>
        <v>0.41666666666666669</v>
      </c>
      <c r="AC24" s="227">
        <f t="shared" si="14"/>
        <v>0.70833333333333337</v>
      </c>
      <c r="AD24" s="228" t="str">
        <f>IF(K24=1,IF(ISERROR(VLOOKUP(M24,データ!$A$3:$C$23,2,FALSE)),"",VLOOKUP(M24,データ!$A$3:$C$23,2,FALSE)),(IF(ISERROR(VLOOKUP(M24,データ!$A$3:$C$23,2,FALSE)),"",VLOOKUP(M24,データ!$A$3:$C$23,2,FALSE))))</f>
        <v/>
      </c>
    </row>
    <row r="25" spans="1:30">
      <c r="A25" s="1">
        <f>IF(AND(M25&gt;=VLOOKUP(M25,データ!$K$3:$O$6,1,TRUE),M25&lt;=VLOOKUP(M25,データ!$K$3:$O$6,2,TRUE)),VLOOKUP(M25,データ!$K$3:$O$6,5,TRUE),"")</f>
        <v>1</v>
      </c>
      <c r="B25" s="74">
        <f>IF(AND(M25&gt;=VLOOKUP(M25,データ!$K$3:$O$6,1,TRUE),M25&lt;=VLOOKUP(M25,データ!$K$3:$O$6,2,TRUE)),VLOOKUP(M25,データ!$K$3:$O$6,3,TRUE),"")</f>
        <v>0.41666666666666669</v>
      </c>
      <c r="C25" s="1">
        <f>IF(AND(M25&gt;=VLOOKUP(M25,データ!$K$11:$O$16,1,TRUE),M25&lt;=VLOOKUP(M25,データ!$K$11:$O$16,2,TRUE)),VLOOKUP(M25,データ!$K$11:$O$16,5,TRUE),0)</f>
        <v>0</v>
      </c>
      <c r="D25" s="74" t="str">
        <f>IF(AND(M25&gt;=VLOOKUP(M25,データ!$K$11:$O$16,1,TRUE),M25&lt;=VLOOKUP(M25,データ!$K$11:$O$16,2,TRUE)),VLOOKUP(M25,データ!$K$11:$O$16,3,TRUE),"")</f>
        <v/>
      </c>
      <c r="E25" s="74">
        <f t="shared" si="2"/>
        <v>0.41666666666666669</v>
      </c>
      <c r="F25" s="75">
        <f>VLOOKUP(E25,データ!$K$20:$O$24,5,FALSE)</f>
        <v>0</v>
      </c>
      <c r="G25" s="74">
        <f>IF(AND(M25&gt;=VLOOKUP(M25,データ!$K$3:$O$6,1,TRUE),M25&lt;=VLOOKUP(M25,データ!$K$3:$O$6,2,TRUE)),VLOOKUP(M25,データ!$K$3:$O$6,4,TRUE),"")</f>
        <v>0.70833333333333337</v>
      </c>
      <c r="H25" s="256">
        <f>INDEX(データ!L$21:N$24,MATCH(配置表!E25,データ!K$21:K$24,0),MATCH(配置表!G25,データ!L$20:N$20,0))</f>
        <v>1</v>
      </c>
      <c r="I25" s="52" t="str">
        <f>IF(ISERROR(VLOOKUP(M25,データ!$A$3:$C$20,3,FALSE)),"",VLOOKUP(M25,データ!$A$3:$C$20,3,FALSE))</f>
        <v/>
      </c>
      <c r="J25" s="52" t="str">
        <f t="shared" si="3"/>
        <v/>
      </c>
      <c r="K25" s="53">
        <f t="shared" si="12"/>
        <v>0</v>
      </c>
      <c r="L25" s="28" t="str">
        <f t="shared" si="0"/>
        <v/>
      </c>
      <c r="M25" s="9">
        <f t="shared" si="13"/>
        <v>45766</v>
      </c>
      <c r="N25" s="10" t="str">
        <f t="shared" si="4"/>
        <v>土</v>
      </c>
      <c r="O25" s="62" t="str">
        <f>IF(AND(M25&gt;=VLOOKUP(M25,データ!$E$3:$G$9,1,TRUE),M25&lt;=VLOOKUP(M25,データ!$E$3:$G$9,2,TRUE)),VLOOKUP(M25,データ!$E$3:$G$9,3,TRUE),"")</f>
        <v>春　特別展</v>
      </c>
      <c r="P25" s="63" t="str">
        <f>IF(AND(M25&gt;=VLOOKUP(M25,データ!$E$14:$G$21,1,TRUE),M25&lt;=VLOOKUP(M25,データ!$E$14:$G$21,2,TRUE)),VLOOKUP(M25,データ!$E$14:$G$21,3,TRUE),"")</f>
        <v>テーマ展</v>
      </c>
      <c r="Q25" s="44" t="str">
        <f t="shared" si="5"/>
        <v>○</v>
      </c>
      <c r="R25" s="45"/>
      <c r="S25" s="10" t="str">
        <f t="shared" ref="S25:S26" si="22">IF(L25="閉","休",IF(O25="","",IF(O25="冬　特別展",IF(OR(N25="土",N25="日",I25=1),"○",""),"○")))</f>
        <v>○</v>
      </c>
      <c r="T25" s="45"/>
      <c r="U25" s="33" t="str">
        <f t="shared" si="19"/>
        <v>●</v>
      </c>
      <c r="V25" s="32"/>
      <c r="W25" s="33" t="str">
        <f>IF(L25="閉","休",IF(O25="","",IF(OR(N25="土",N25="日",I25=1),IF(OR(O25="ダミー　特別展",O25="ダミー　特別展"),"◎",IF(OR(O25="夏　特別展",O25="秋　特別展",O25="春　特別展"),"◎","")),"")))</f>
        <v>◎</v>
      </c>
      <c r="X25" s="32"/>
      <c r="Y25" s="33" t="str">
        <f t="shared" si="9"/>
        <v>○</v>
      </c>
      <c r="Z25" s="32">
        <f>IF(L25="閉","",(IF(AND(M25&gt;=VLOOKUP(M25,データ!$E$3:$G$9,1,TRUE),M25&lt;=VLOOKUP(M25,データ!$E$3:$G$9,2,TRUE)),VLOOKUP(M25,データ!$E$3:$H$9,4,TRUE),0)+IF(AND(M25&gt;=VLOOKUP(M25,データ!$E$14:$G$21,1,TRUE),M25&lt;=VLOOKUP(M25,データ!$E$14:$G$21,2,TRUE)),VLOOKUP(M25,データ!$E$14:$H$21,4,TRUE),0)))</f>
        <v>5</v>
      </c>
      <c r="AA25" s="33" t="str">
        <f t="shared" si="10"/>
        <v>○</v>
      </c>
      <c r="AB25" s="227">
        <f t="shared" si="11"/>
        <v>0.41666666666666669</v>
      </c>
      <c r="AC25" s="227">
        <f t="shared" si="14"/>
        <v>0.70833333333333337</v>
      </c>
      <c r="AD25" s="228" t="str">
        <f>IF(K25=1,IF(ISERROR(VLOOKUP(M25,データ!$A$3:$C$23,2,FALSE)),"",VLOOKUP(M25,データ!$A$3:$C$23,2,FALSE)),(IF(ISERROR(VLOOKUP(M25,データ!$A$3:$C$23,2,FALSE)),"",VLOOKUP(M25,データ!$A$3:$C$23,2,FALSE))))</f>
        <v/>
      </c>
    </row>
    <row r="26" spans="1:30">
      <c r="A26" s="1">
        <f>IF(AND(M26&gt;=VLOOKUP(M26,データ!$K$3:$O$6,1,TRUE),M26&lt;=VLOOKUP(M26,データ!$K$3:$O$6,2,TRUE)),VLOOKUP(M26,データ!$K$3:$O$6,5,TRUE),"")</f>
        <v>1</v>
      </c>
      <c r="B26" s="74">
        <f>IF(AND(M26&gt;=VLOOKUP(M26,データ!$K$3:$O$6,1,TRUE),M26&lt;=VLOOKUP(M26,データ!$K$3:$O$6,2,TRUE)),VLOOKUP(M26,データ!$K$3:$O$6,3,TRUE),"")</f>
        <v>0.41666666666666669</v>
      </c>
      <c r="C26" s="1">
        <f>IF(AND(M26&gt;=VLOOKUP(M26,データ!$K$11:$O$16,1,TRUE),M26&lt;=VLOOKUP(M26,データ!$K$11:$O$16,2,TRUE)),VLOOKUP(M26,データ!$K$11:$O$16,5,TRUE),0)</f>
        <v>0</v>
      </c>
      <c r="D26" s="74" t="str">
        <f>IF(AND(M26&gt;=VLOOKUP(M26,データ!$K$11:$O$16,1,TRUE),M26&lt;=VLOOKUP(M26,データ!$K$11:$O$16,2,TRUE)),VLOOKUP(M26,データ!$K$11:$O$16,3,TRUE),"")</f>
        <v/>
      </c>
      <c r="E26" s="74">
        <f t="shared" si="2"/>
        <v>0.41666666666666669</v>
      </c>
      <c r="F26" s="75">
        <f>VLOOKUP(E26,データ!$K$20:$O$24,5,FALSE)</f>
        <v>0</v>
      </c>
      <c r="G26" s="74">
        <f>IF(AND(M26&gt;=VLOOKUP(M26,データ!$K$3:$O$6,1,TRUE),M26&lt;=VLOOKUP(M26,データ!$K$3:$O$6,2,TRUE)),VLOOKUP(M26,データ!$K$3:$O$6,4,TRUE),"")</f>
        <v>0.70833333333333337</v>
      </c>
      <c r="H26" s="256">
        <f>INDEX(データ!L$21:N$24,MATCH(配置表!E26,データ!K$21:K$24,0),MATCH(配置表!G26,データ!L$20:N$20,0))</f>
        <v>1</v>
      </c>
      <c r="I26" s="52" t="str">
        <f>IF(ISERROR(VLOOKUP(M26,データ!$A$3:$C$20,3,FALSE)),"",VLOOKUP(M26,データ!$A$3:$C$20,3,FALSE))</f>
        <v/>
      </c>
      <c r="J26" s="52" t="str">
        <f t="shared" si="3"/>
        <v/>
      </c>
      <c r="K26" s="53">
        <f t="shared" si="12"/>
        <v>0</v>
      </c>
      <c r="L26" s="28" t="str">
        <f t="shared" si="0"/>
        <v/>
      </c>
      <c r="M26" s="9">
        <f t="shared" si="13"/>
        <v>45767</v>
      </c>
      <c r="N26" s="10" t="str">
        <f t="shared" si="4"/>
        <v>日</v>
      </c>
      <c r="O26" s="62" t="str">
        <f>IF(AND(M26&gt;=VLOOKUP(M26,データ!$E$3:$G$9,1,TRUE),M26&lt;=VLOOKUP(M26,データ!$E$3:$G$9,2,TRUE)),VLOOKUP(M26,データ!$E$3:$G$9,3,TRUE),"")</f>
        <v>春　特別展</v>
      </c>
      <c r="P26" s="63" t="str">
        <f>IF(AND(M26&gt;=VLOOKUP(M26,データ!$E$14:$G$21,1,TRUE),M26&lt;=VLOOKUP(M26,データ!$E$14:$G$21,2,TRUE)),VLOOKUP(M26,データ!$E$14:$G$21,3,TRUE),"")</f>
        <v>テーマ展</v>
      </c>
      <c r="Q26" s="44" t="str">
        <f t="shared" si="5"/>
        <v>○</v>
      </c>
      <c r="R26" s="45"/>
      <c r="S26" s="10" t="str">
        <f t="shared" si="22"/>
        <v>○</v>
      </c>
      <c r="T26" s="45"/>
      <c r="U26" s="33" t="str">
        <f t="shared" si="19"/>
        <v>●</v>
      </c>
      <c r="V26" s="32"/>
      <c r="W26" s="33" t="str">
        <f>IF(L26="閉","休",IF(O26="","",IF(OR(N26="土",N26="日",I26=1),IF(OR(O26="ダミー　特別展",O26="ダミー　特別展"),"◎",IF(OR(O26="夏　特別展",O26="秋　特別展",O26="春　特別展"),"◎","")),"")))</f>
        <v>◎</v>
      </c>
      <c r="X26" s="32"/>
      <c r="Y26" s="33" t="str">
        <f t="shared" si="9"/>
        <v>○</v>
      </c>
      <c r="Z26" s="32">
        <f>IF(L26="閉","",(IF(AND(M26&gt;=VLOOKUP(M26,データ!$E$3:$G$9,1,TRUE),M26&lt;=VLOOKUP(M26,データ!$E$3:$G$9,2,TRUE)),VLOOKUP(M26,データ!$E$3:$H$9,4,TRUE),0)+IF(AND(M26&gt;=VLOOKUP(M26,データ!$E$14:$G$21,1,TRUE),M26&lt;=VLOOKUP(M26,データ!$E$14:$G$21,2,TRUE)),VLOOKUP(M26,データ!$E$14:$H$21,4,TRUE),0)))</f>
        <v>5</v>
      </c>
      <c r="AA26" s="33" t="str">
        <f t="shared" si="10"/>
        <v>○</v>
      </c>
      <c r="AB26" s="227">
        <f t="shared" si="11"/>
        <v>0.41666666666666669</v>
      </c>
      <c r="AC26" s="227">
        <f t="shared" si="14"/>
        <v>0.70833333333333337</v>
      </c>
      <c r="AD26" s="228" t="str">
        <f>IF(K26=1,IF(ISERROR(VLOOKUP(M26,データ!$A$3:$C$23,2,FALSE)),"",VLOOKUP(M26,データ!$A$3:$C$23,2,FALSE)),(IF(ISERROR(VLOOKUP(M26,データ!$A$3:$C$23,2,FALSE)),"",VLOOKUP(M26,データ!$A$3:$C$23,2,FALSE))))</f>
        <v/>
      </c>
    </row>
    <row r="27" spans="1:30">
      <c r="A27" s="1">
        <f>IF(AND(M27&gt;=VLOOKUP(M27,データ!$K$3:$O$6,1,TRUE),M27&lt;=VLOOKUP(M27,データ!$K$3:$O$6,2,TRUE)),VLOOKUP(M27,データ!$K$3:$O$6,5,TRUE),"")</f>
        <v>1</v>
      </c>
      <c r="B27" s="74">
        <f>IF(AND(M27&gt;=VLOOKUP(M27,データ!$K$3:$O$6,1,TRUE),M27&lt;=VLOOKUP(M27,データ!$K$3:$O$6,2,TRUE)),VLOOKUP(M27,データ!$K$3:$O$6,3,TRUE),"")</f>
        <v>0.41666666666666669</v>
      </c>
      <c r="C27" s="1">
        <f>IF(AND(M27&gt;=VLOOKUP(M27,データ!$K$11:$O$16,1,TRUE),M27&lt;=VLOOKUP(M27,データ!$K$11:$O$16,2,TRUE)),VLOOKUP(M27,データ!$K$11:$O$16,5,TRUE),0)</f>
        <v>0</v>
      </c>
      <c r="D27" s="74" t="str">
        <f>IF(AND(M27&gt;=VLOOKUP(M27,データ!$K$11:$O$16,1,TRUE),M27&lt;=VLOOKUP(M27,データ!$K$11:$O$16,2,TRUE)),VLOOKUP(M27,データ!$K$11:$O$16,3,TRUE),"")</f>
        <v/>
      </c>
      <c r="E27" s="74">
        <f t="shared" si="2"/>
        <v>0.41666666666666669</v>
      </c>
      <c r="F27" s="75">
        <f>VLOOKUP(E27,データ!$K$20:$O$24,5,FALSE)</f>
        <v>0</v>
      </c>
      <c r="G27" s="74">
        <f>IF(AND(M27&gt;=VLOOKUP(M27,データ!$K$3:$O$6,1,TRUE),M27&lt;=VLOOKUP(M27,データ!$K$3:$O$6,2,TRUE)),VLOOKUP(M27,データ!$K$3:$O$6,4,TRUE),"")</f>
        <v>0.70833333333333337</v>
      </c>
      <c r="H27" s="256">
        <f>INDEX(データ!L$21:N$24,MATCH(配置表!E27,データ!K$21:K$24,0),MATCH(配置表!G27,データ!L$20:N$20,0))</f>
        <v>1</v>
      </c>
      <c r="I27" s="52" t="str">
        <f>IF(ISERROR(VLOOKUP(M27,データ!$A$3:$C$20,3,FALSE)),"",VLOOKUP(M27,データ!$A$3:$C$20,3,FALSE))</f>
        <v/>
      </c>
      <c r="J27" s="52">
        <f t="shared" si="3"/>
        <v>1</v>
      </c>
      <c r="K27" s="53">
        <f t="shared" si="12"/>
        <v>1</v>
      </c>
      <c r="L27" s="28" t="str">
        <f t="shared" si="0"/>
        <v>閉</v>
      </c>
      <c r="M27" s="9">
        <f t="shared" si="13"/>
        <v>45768</v>
      </c>
      <c r="N27" s="10" t="str">
        <f t="shared" si="4"/>
        <v>月</v>
      </c>
      <c r="O27" s="62" t="str">
        <f>IF(AND(M27&gt;=VLOOKUP(M27,データ!$E$3:$G$9,1,TRUE),M27&lt;=VLOOKUP(M27,データ!$E$3:$G$9,2,TRUE)),VLOOKUP(M27,データ!$E$3:$G$9,3,TRUE),"")</f>
        <v>春　特別展</v>
      </c>
      <c r="P27" s="63" t="str">
        <f>IF(AND(M27&gt;=VLOOKUP(M27,データ!$E$14:$G$21,1,TRUE),M27&lt;=VLOOKUP(M27,データ!$E$14:$G$21,2,TRUE)),VLOOKUP(M27,データ!$E$14:$G$21,3,TRUE),"")</f>
        <v>テーマ展</v>
      </c>
      <c r="Q27" s="44" t="str">
        <f t="shared" si="5"/>
        <v>休</v>
      </c>
      <c r="R27" s="32"/>
      <c r="S27" s="33" t="str">
        <f t="shared" si="15"/>
        <v>休</v>
      </c>
      <c r="T27" s="32"/>
      <c r="U27" s="33" t="str">
        <f t="shared" si="7"/>
        <v>休</v>
      </c>
      <c r="V27" s="32"/>
      <c r="W27" s="33" t="str">
        <f t="shared" si="16"/>
        <v>休</v>
      </c>
      <c r="X27" s="32"/>
      <c r="Y27" s="33" t="str">
        <f t="shared" si="9"/>
        <v>休</v>
      </c>
      <c r="Z27" s="32" t="str">
        <f>IF(L27="閉","",(IF(AND(M27&gt;=VLOOKUP(M27,データ!$E$3:$G$9,1,TRUE),M27&lt;=VLOOKUP(M27,データ!$E$3:$G$9,2,TRUE)),VLOOKUP(M27,データ!$E$3:$H$9,4,TRUE),0)+IF(AND(M27&gt;=VLOOKUP(M27,データ!$E$14:$G$21,1,TRUE),M27&lt;=VLOOKUP(M27,データ!$E$14:$G$21,2,TRUE)),VLOOKUP(M27,データ!$E$14:$H$21,4,TRUE),0)))</f>
        <v/>
      </c>
      <c r="AA27" s="33" t="str">
        <f t="shared" si="10"/>
        <v>休</v>
      </c>
      <c r="AB27" s="227" t="str">
        <f t="shared" si="11"/>
        <v/>
      </c>
      <c r="AC27" s="227" t="str">
        <f t="shared" si="14"/>
        <v/>
      </c>
      <c r="AD27" s="228" t="str">
        <f>IF(K27=1,IF(ISERROR(VLOOKUP(M27,データ!$A$3:$C$23,2,FALSE)),"",VLOOKUP(M27,データ!$A$3:$C$23,2,FALSE)),(IF(ISERROR(VLOOKUP(M27,データ!$A$3:$C$23,2,FALSE)),"",VLOOKUP(M27,データ!$A$3:$C$23,2,FALSE))))</f>
        <v/>
      </c>
    </row>
    <row r="28" spans="1:30">
      <c r="A28" s="1">
        <f>IF(AND(M28&gt;=VLOOKUP(M28,データ!$K$3:$O$6,1,TRUE),M28&lt;=VLOOKUP(M28,データ!$K$3:$O$6,2,TRUE)),VLOOKUP(M28,データ!$K$3:$O$6,5,TRUE),"")</f>
        <v>1</v>
      </c>
      <c r="B28" s="74">
        <f>IF(AND(M28&gt;=VLOOKUP(M28,データ!$K$3:$O$6,1,TRUE),M28&lt;=VLOOKUP(M28,データ!$K$3:$O$6,2,TRUE)),VLOOKUP(M28,データ!$K$3:$O$6,3,TRUE),"")</f>
        <v>0.41666666666666669</v>
      </c>
      <c r="C28" s="1">
        <f>IF(AND(M28&gt;=VLOOKUP(M28,データ!$K$11:$O$16,1,TRUE),M28&lt;=VLOOKUP(M28,データ!$K$11:$O$16,2,TRUE)),VLOOKUP(M28,データ!$K$11:$O$16,5,TRUE),0)</f>
        <v>0</v>
      </c>
      <c r="D28" s="74" t="str">
        <f>IF(AND(M28&gt;=VLOOKUP(M28,データ!$K$11:$O$16,1,TRUE),M28&lt;=VLOOKUP(M28,データ!$K$11:$O$16,2,TRUE)),VLOOKUP(M28,データ!$K$11:$O$16,3,TRUE),"")</f>
        <v/>
      </c>
      <c r="E28" s="74">
        <f t="shared" si="2"/>
        <v>0.41666666666666669</v>
      </c>
      <c r="F28" s="75">
        <f>VLOOKUP(E28,データ!$K$20:$O$24,5,FALSE)</f>
        <v>0</v>
      </c>
      <c r="G28" s="74">
        <f>IF(AND(M28&gt;=VLOOKUP(M28,データ!$K$3:$O$6,1,TRUE),M28&lt;=VLOOKUP(M28,データ!$K$3:$O$6,2,TRUE)),VLOOKUP(M28,データ!$K$3:$O$6,4,TRUE),"")</f>
        <v>0.70833333333333337</v>
      </c>
      <c r="H28" s="256">
        <f>INDEX(データ!L$21:N$24,MATCH(配置表!E28,データ!K$21:K$24,0),MATCH(配置表!G28,データ!L$20:N$20,0))</f>
        <v>1</v>
      </c>
      <c r="I28" s="52" t="str">
        <f>IF(ISERROR(VLOOKUP(M28,データ!$A$3:$C$20,3,FALSE)),"",VLOOKUP(M28,データ!$A$3:$C$20,3,FALSE))</f>
        <v/>
      </c>
      <c r="J28" s="52" t="str">
        <f t="shared" si="3"/>
        <v/>
      </c>
      <c r="K28" s="53">
        <f t="shared" si="12"/>
        <v>0</v>
      </c>
      <c r="L28" s="28" t="str">
        <f t="shared" si="0"/>
        <v/>
      </c>
      <c r="M28" s="9">
        <f t="shared" si="13"/>
        <v>45769</v>
      </c>
      <c r="N28" s="10" t="str">
        <f t="shared" si="4"/>
        <v>火</v>
      </c>
      <c r="O28" s="62" t="str">
        <f>IF(AND(M28&gt;=VLOOKUP(M28,データ!$E$3:$G$9,1,TRUE),M28&lt;=VLOOKUP(M28,データ!$E$3:$G$9,2,TRUE)),VLOOKUP(M28,データ!$E$3:$G$9,3,TRUE),"")</f>
        <v>春　特別展</v>
      </c>
      <c r="P28" s="63" t="str">
        <f>IF(AND(M28&gt;=VLOOKUP(M28,データ!$E$14:$G$21,1,TRUE),M28&lt;=VLOOKUP(M28,データ!$E$14:$G$21,2,TRUE)),VLOOKUP(M28,データ!$E$14:$G$21,3,TRUE),"")</f>
        <v>テーマ展</v>
      </c>
      <c r="Q28" s="44" t="str">
        <f t="shared" si="5"/>
        <v>○</v>
      </c>
      <c r="R28" s="45"/>
      <c r="S28" s="33" t="str">
        <f>IF(H28="閉","休",IF(K28="","",IF(OR(J28="土",J28="日",E28=1),IF(OR(K28="ダミー　特別展",K28="ダミー　特別展"),"◎",IF(OR(K28="夏　特別展",K28="秋　特別展",K28="春　特別展"),"○","")),"")))</f>
        <v/>
      </c>
      <c r="T28" s="45"/>
      <c r="U28" s="33" t="str">
        <f t="shared" si="7"/>
        <v>●</v>
      </c>
      <c r="V28" s="32"/>
      <c r="W28" s="10" t="str">
        <f>IF(P28="閉","休",IF(O28="","",IF(O28="冬　特別展",IF(OR(N28="土",N28="日",M28=1),"○",""),"○")))</f>
        <v>○</v>
      </c>
      <c r="X28" s="32"/>
      <c r="Y28" s="33" t="str">
        <f t="shared" si="9"/>
        <v>○</v>
      </c>
      <c r="Z28" s="32">
        <f>IF(L28="閉","",(IF(AND(M28&gt;=VLOOKUP(M28,データ!$E$3:$G$9,1,TRUE),M28&lt;=VLOOKUP(M28,データ!$E$3:$G$9,2,TRUE)),VLOOKUP(M28,データ!$E$3:$H$9,4,TRUE),0)+IF(AND(M28&gt;=VLOOKUP(M28,データ!$E$14:$G$21,1,TRUE),M28&lt;=VLOOKUP(M28,データ!$E$14:$G$21,2,TRUE)),VLOOKUP(M28,データ!$E$14:$H$21,4,TRUE),0)))</f>
        <v>5</v>
      </c>
      <c r="AA28" s="33" t="str">
        <f t="shared" si="10"/>
        <v>○</v>
      </c>
      <c r="AB28" s="227">
        <f t="shared" si="11"/>
        <v>0.41666666666666669</v>
      </c>
      <c r="AC28" s="227">
        <f t="shared" si="14"/>
        <v>0.70833333333333337</v>
      </c>
      <c r="AD28" s="228" t="str">
        <f>IF(K28=1,IF(ISERROR(VLOOKUP(M28,データ!$A$3:$C$23,2,FALSE)),"",VLOOKUP(M28,データ!$A$3:$C$23,2,FALSE)),(IF(ISERROR(VLOOKUP(M28,データ!$A$3:$C$23,2,FALSE)),"",VLOOKUP(M28,データ!$A$3:$C$23,2,FALSE))))</f>
        <v/>
      </c>
    </row>
    <row r="29" spans="1:30">
      <c r="A29" s="1">
        <f>IF(AND(M29&gt;=VLOOKUP(M29,データ!$K$3:$O$6,1,TRUE),M29&lt;=VLOOKUP(M29,データ!$K$3:$O$6,2,TRUE)),VLOOKUP(M29,データ!$K$3:$O$6,5,TRUE),"")</f>
        <v>1</v>
      </c>
      <c r="B29" s="74">
        <f>IF(AND(M29&gt;=VLOOKUP(M29,データ!$K$3:$O$6,1,TRUE),M29&lt;=VLOOKUP(M29,データ!$K$3:$O$6,2,TRUE)),VLOOKUP(M29,データ!$K$3:$O$6,3,TRUE),"")</f>
        <v>0.41666666666666669</v>
      </c>
      <c r="C29" s="1">
        <f>IF(AND(M29&gt;=VLOOKUP(M29,データ!$K$11:$O$16,1,TRUE),M29&lt;=VLOOKUP(M29,データ!$K$11:$O$16,2,TRUE)),VLOOKUP(M29,データ!$K$11:$O$16,5,TRUE),0)</f>
        <v>0</v>
      </c>
      <c r="D29" s="74" t="str">
        <f>IF(AND(M29&gt;=VLOOKUP(M29,データ!$K$11:$O$16,1,TRUE),M29&lt;=VLOOKUP(M29,データ!$K$11:$O$16,2,TRUE)),VLOOKUP(M29,データ!$K$11:$O$16,3,TRUE),"")</f>
        <v/>
      </c>
      <c r="E29" s="74">
        <f t="shared" si="2"/>
        <v>0.41666666666666669</v>
      </c>
      <c r="F29" s="75">
        <f>VLOOKUP(E29,データ!$K$20:$O$24,5,FALSE)</f>
        <v>0</v>
      </c>
      <c r="G29" s="74">
        <f>IF(AND(M29&gt;=VLOOKUP(M29,データ!$K$3:$O$6,1,TRUE),M29&lt;=VLOOKUP(M29,データ!$K$3:$O$6,2,TRUE)),VLOOKUP(M29,データ!$K$3:$O$6,4,TRUE),"")</f>
        <v>0.70833333333333337</v>
      </c>
      <c r="H29" s="256">
        <f>INDEX(データ!L$21:N$24,MATCH(配置表!E29,データ!K$21:K$24,0),MATCH(配置表!G29,データ!L$20:N$20,0))</f>
        <v>1</v>
      </c>
      <c r="I29" s="52" t="str">
        <f>IF(ISERROR(VLOOKUP(M29,データ!$A$3:$C$20,3,FALSE)),"",VLOOKUP(M29,データ!$A$3:$C$20,3,FALSE))</f>
        <v/>
      </c>
      <c r="J29" s="52" t="str">
        <f t="shared" si="3"/>
        <v/>
      </c>
      <c r="K29" s="53">
        <f t="shared" si="12"/>
        <v>0</v>
      </c>
      <c r="L29" s="28" t="str">
        <f t="shared" si="0"/>
        <v/>
      </c>
      <c r="M29" s="9">
        <f t="shared" si="13"/>
        <v>45770</v>
      </c>
      <c r="N29" s="10" t="str">
        <f t="shared" si="4"/>
        <v>水</v>
      </c>
      <c r="O29" s="62" t="str">
        <f>IF(AND(M29&gt;=VLOOKUP(M29,データ!$E$3:$G$9,1,TRUE),M29&lt;=VLOOKUP(M29,データ!$E$3:$G$9,2,TRUE)),VLOOKUP(M29,データ!$E$3:$G$9,3,TRUE),"")</f>
        <v>春　特別展</v>
      </c>
      <c r="P29" s="63" t="str">
        <f>IF(AND(M29&gt;=VLOOKUP(M29,データ!$E$14:$G$21,1,TRUE),M29&lt;=VLOOKUP(M29,データ!$E$14:$G$21,2,TRUE)),VLOOKUP(M29,データ!$E$14:$G$21,3,TRUE),"")</f>
        <v>テーマ展</v>
      </c>
      <c r="Q29" s="44" t="str">
        <f t="shared" si="5"/>
        <v>○</v>
      </c>
      <c r="R29" s="45"/>
      <c r="S29" s="33" t="str">
        <f t="shared" ref="S29:S31" si="23">IF(H29="閉","休",IF(K29="","",IF(OR(J29="土",J29="日",E29=1),IF(OR(K29="ダミー　特別展",K29="ダミー　特別展"),"◎",IF(OR(K29="夏　特別展",K29="秋　特別展",K29="春　特別展"),"○","")),"")))</f>
        <v/>
      </c>
      <c r="T29" s="45"/>
      <c r="U29" s="33" t="str">
        <f t="shared" si="7"/>
        <v>●</v>
      </c>
      <c r="V29" s="32"/>
      <c r="W29" s="10" t="str">
        <f t="shared" ref="W29:W31" si="24">IF(P29="閉","休",IF(O29="","",IF(O29="冬　特別展",IF(OR(N29="土",N29="日",M29=1),"○",""),"○")))</f>
        <v>○</v>
      </c>
      <c r="X29" s="32"/>
      <c r="Y29" s="33" t="str">
        <f t="shared" si="9"/>
        <v>○</v>
      </c>
      <c r="Z29" s="32">
        <f>IF(L29="閉","",(IF(AND(M29&gt;=VLOOKUP(M29,データ!$E$3:$G$9,1,TRUE),M29&lt;=VLOOKUP(M29,データ!$E$3:$G$9,2,TRUE)),VLOOKUP(M29,データ!$E$3:$H$9,4,TRUE),0)+IF(AND(M29&gt;=VLOOKUP(M29,データ!$E$14:$G$21,1,TRUE),M29&lt;=VLOOKUP(M29,データ!$E$14:$G$21,2,TRUE)),VLOOKUP(M29,データ!$E$14:$H$21,4,TRUE),0)))</f>
        <v>5</v>
      </c>
      <c r="AA29" s="33" t="str">
        <f t="shared" si="10"/>
        <v>○</v>
      </c>
      <c r="AB29" s="227">
        <f t="shared" si="11"/>
        <v>0.41666666666666669</v>
      </c>
      <c r="AC29" s="227">
        <f t="shared" si="14"/>
        <v>0.70833333333333337</v>
      </c>
      <c r="AD29" s="228" t="str">
        <f>IF(K29=1,IF(ISERROR(VLOOKUP(M29,データ!$A$3:$C$23,2,FALSE)),"",VLOOKUP(M29,データ!$A$3:$C$23,2,FALSE)),(IF(ISERROR(VLOOKUP(M29,データ!$A$3:$C$23,2,FALSE)),"",VLOOKUP(M29,データ!$A$3:$C$23,2,FALSE))))</f>
        <v/>
      </c>
    </row>
    <row r="30" spans="1:30">
      <c r="A30" s="1">
        <f>IF(AND(M30&gt;=VLOOKUP(M30,データ!$K$3:$O$6,1,TRUE),M30&lt;=VLOOKUP(M30,データ!$K$3:$O$6,2,TRUE)),VLOOKUP(M30,データ!$K$3:$O$6,5,TRUE),"")</f>
        <v>1</v>
      </c>
      <c r="B30" s="74">
        <f>IF(AND(M30&gt;=VLOOKUP(M30,データ!$K$3:$O$6,1,TRUE),M30&lt;=VLOOKUP(M30,データ!$K$3:$O$6,2,TRUE)),VLOOKUP(M30,データ!$K$3:$O$6,3,TRUE),"")</f>
        <v>0.41666666666666669</v>
      </c>
      <c r="C30" s="1">
        <f>IF(AND(M30&gt;=VLOOKUP(M30,データ!$K$11:$O$16,1,TRUE),M30&lt;=VLOOKUP(M30,データ!$K$11:$O$16,2,TRUE)),VLOOKUP(M30,データ!$K$11:$O$16,5,TRUE),0)</f>
        <v>0</v>
      </c>
      <c r="D30" s="74" t="str">
        <f>IF(AND(M30&gt;=VLOOKUP(M30,データ!$K$11:$O$16,1,TRUE),M30&lt;=VLOOKUP(M30,データ!$K$11:$O$16,2,TRUE)),VLOOKUP(M30,データ!$K$11:$O$16,3,TRUE),"")</f>
        <v/>
      </c>
      <c r="E30" s="74">
        <f t="shared" si="2"/>
        <v>0.41666666666666669</v>
      </c>
      <c r="F30" s="75">
        <f>VLOOKUP(E30,データ!$K$20:$O$24,5,FALSE)</f>
        <v>0</v>
      </c>
      <c r="G30" s="74">
        <f>IF(AND(M30&gt;=VLOOKUP(M30,データ!$K$3:$O$6,1,TRUE),M30&lt;=VLOOKUP(M30,データ!$K$3:$O$6,2,TRUE)),VLOOKUP(M30,データ!$K$3:$O$6,4,TRUE),"")</f>
        <v>0.70833333333333337</v>
      </c>
      <c r="H30" s="256">
        <f>INDEX(データ!L$21:N$24,MATCH(配置表!E30,データ!K$21:K$24,0),MATCH(配置表!G30,データ!L$20:N$20,0))</f>
        <v>1</v>
      </c>
      <c r="I30" s="52" t="str">
        <f>IF(ISERROR(VLOOKUP(M30,データ!$A$3:$C$20,3,FALSE)),"",VLOOKUP(M30,データ!$A$3:$C$20,3,FALSE))</f>
        <v/>
      </c>
      <c r="J30" s="52" t="str">
        <f t="shared" si="3"/>
        <v/>
      </c>
      <c r="K30" s="53">
        <f t="shared" si="12"/>
        <v>0</v>
      </c>
      <c r="L30" s="28" t="str">
        <f t="shared" si="0"/>
        <v/>
      </c>
      <c r="M30" s="9">
        <f t="shared" si="13"/>
        <v>45771</v>
      </c>
      <c r="N30" s="10" t="str">
        <f t="shared" si="4"/>
        <v>木</v>
      </c>
      <c r="O30" s="62" t="str">
        <f>IF(AND(M30&gt;=VLOOKUP(M30,データ!$E$3:$G$9,1,TRUE),M30&lt;=VLOOKUP(M30,データ!$E$3:$G$9,2,TRUE)),VLOOKUP(M30,データ!$E$3:$G$9,3,TRUE),"")</f>
        <v>春　特別展</v>
      </c>
      <c r="P30" s="63" t="str">
        <f>IF(AND(M30&gt;=VLOOKUP(M30,データ!$E$14:$G$21,1,TRUE),M30&lt;=VLOOKUP(M30,データ!$E$14:$G$21,2,TRUE)),VLOOKUP(M30,データ!$E$14:$G$21,3,TRUE),"")</f>
        <v>テーマ展</v>
      </c>
      <c r="Q30" s="44" t="str">
        <f t="shared" si="5"/>
        <v>○</v>
      </c>
      <c r="R30" s="45"/>
      <c r="S30" s="33" t="str">
        <f t="shared" si="23"/>
        <v/>
      </c>
      <c r="T30" s="45"/>
      <c r="U30" s="33" t="str">
        <f t="shared" si="7"/>
        <v>●</v>
      </c>
      <c r="V30" s="32"/>
      <c r="W30" s="10" t="str">
        <f t="shared" si="24"/>
        <v>○</v>
      </c>
      <c r="X30" s="32"/>
      <c r="Y30" s="33" t="str">
        <f t="shared" si="9"/>
        <v>○</v>
      </c>
      <c r="Z30" s="32">
        <f>IF(L30="閉","",(IF(AND(M30&gt;=VLOOKUP(M30,データ!$E$3:$G$9,1,TRUE),M30&lt;=VLOOKUP(M30,データ!$E$3:$G$9,2,TRUE)),VLOOKUP(M30,データ!$E$3:$H$9,4,TRUE),0)+IF(AND(M30&gt;=VLOOKUP(M30,データ!$E$14:$G$21,1,TRUE),M30&lt;=VLOOKUP(M30,データ!$E$14:$G$21,2,TRUE)),VLOOKUP(M30,データ!$E$14:$H$21,4,TRUE),0)))</f>
        <v>5</v>
      </c>
      <c r="AA30" s="33" t="str">
        <f t="shared" si="10"/>
        <v>○</v>
      </c>
      <c r="AB30" s="227">
        <f t="shared" si="11"/>
        <v>0.41666666666666669</v>
      </c>
      <c r="AC30" s="227">
        <f t="shared" si="14"/>
        <v>0.70833333333333337</v>
      </c>
      <c r="AD30" s="228" t="str">
        <f>IF(K30=1,IF(ISERROR(VLOOKUP(M30,データ!$A$3:$C$23,2,FALSE)),"",VLOOKUP(M30,データ!$A$3:$C$23,2,FALSE)),(IF(ISERROR(VLOOKUP(M30,データ!$A$3:$C$23,2,FALSE)),"",VLOOKUP(M30,データ!$A$3:$C$23,2,FALSE))))</f>
        <v/>
      </c>
    </row>
    <row r="31" spans="1:30">
      <c r="A31" s="1">
        <f>IF(AND(M31&gt;=VLOOKUP(M31,データ!$K$3:$O$6,1,TRUE),M31&lt;=VLOOKUP(M31,データ!$K$3:$O$6,2,TRUE)),VLOOKUP(M31,データ!$K$3:$O$6,5,TRUE),"")</f>
        <v>1</v>
      </c>
      <c r="B31" s="74">
        <f>IF(AND(M31&gt;=VLOOKUP(M31,データ!$K$3:$O$6,1,TRUE),M31&lt;=VLOOKUP(M31,データ!$K$3:$O$6,2,TRUE)),VLOOKUP(M31,データ!$K$3:$O$6,3,TRUE),"")</f>
        <v>0.41666666666666669</v>
      </c>
      <c r="C31" s="1">
        <f>IF(AND(M31&gt;=VLOOKUP(M31,データ!$K$11:$O$16,1,TRUE),M31&lt;=VLOOKUP(M31,データ!$K$11:$O$16,2,TRUE)),VLOOKUP(M31,データ!$K$11:$O$16,5,TRUE),0)</f>
        <v>0</v>
      </c>
      <c r="D31" s="74" t="str">
        <f>IF(AND(M31&gt;=VLOOKUP(M31,データ!$K$11:$O$16,1,TRUE),M31&lt;=VLOOKUP(M31,データ!$K$11:$O$16,2,TRUE)),VLOOKUP(M31,データ!$K$11:$O$16,3,TRUE),"")</f>
        <v/>
      </c>
      <c r="E31" s="74">
        <f t="shared" si="2"/>
        <v>0.41666666666666669</v>
      </c>
      <c r="F31" s="75">
        <f>VLOOKUP(E31,データ!$K$20:$O$24,5,FALSE)</f>
        <v>0</v>
      </c>
      <c r="G31" s="74">
        <f>IF(AND(M31&gt;=VLOOKUP(M31,データ!$K$3:$O$6,1,TRUE),M31&lt;=VLOOKUP(M31,データ!$K$3:$O$6,2,TRUE)),VLOOKUP(M31,データ!$K$3:$O$6,4,TRUE),"")</f>
        <v>0.70833333333333337</v>
      </c>
      <c r="H31" s="256">
        <f>INDEX(データ!L$21:N$24,MATCH(配置表!E31,データ!K$21:K$24,0),MATCH(配置表!G31,データ!L$20:N$20,0))</f>
        <v>1</v>
      </c>
      <c r="I31" s="52" t="str">
        <f>IF(ISERROR(VLOOKUP(M31,データ!$A$3:$C$20,3,FALSE)),"",VLOOKUP(M31,データ!$A$3:$C$20,3,FALSE))</f>
        <v/>
      </c>
      <c r="J31" s="52" t="str">
        <f t="shared" si="3"/>
        <v/>
      </c>
      <c r="K31" s="53">
        <f t="shared" si="12"/>
        <v>0</v>
      </c>
      <c r="L31" s="28" t="str">
        <f t="shared" si="0"/>
        <v/>
      </c>
      <c r="M31" s="9">
        <f t="shared" si="13"/>
        <v>45772</v>
      </c>
      <c r="N31" s="10" t="str">
        <f t="shared" si="4"/>
        <v>金</v>
      </c>
      <c r="O31" s="62" t="str">
        <f>IF(AND(M31&gt;=VLOOKUP(M31,データ!$E$3:$G$9,1,TRUE),M31&lt;=VLOOKUP(M31,データ!$E$3:$G$9,2,TRUE)),VLOOKUP(M31,データ!$E$3:$G$9,3,TRUE),"")</f>
        <v>春　特別展</v>
      </c>
      <c r="P31" s="63" t="str">
        <f>IF(AND(M31&gt;=VLOOKUP(M31,データ!$E$14:$G$21,1,TRUE),M31&lt;=VLOOKUP(M31,データ!$E$14:$G$21,2,TRUE)),VLOOKUP(M31,データ!$E$14:$G$21,3,TRUE),"")</f>
        <v>テーマ展</v>
      </c>
      <c r="Q31" s="44" t="str">
        <f t="shared" si="5"/>
        <v>○</v>
      </c>
      <c r="R31" s="45"/>
      <c r="S31" s="33" t="str">
        <f t="shared" si="23"/>
        <v/>
      </c>
      <c r="T31" s="45"/>
      <c r="U31" s="33" t="str">
        <f t="shared" si="7"/>
        <v>●</v>
      </c>
      <c r="V31" s="32"/>
      <c r="W31" s="10" t="str">
        <f t="shared" si="24"/>
        <v>○</v>
      </c>
      <c r="X31" s="32"/>
      <c r="Y31" s="33" t="str">
        <f t="shared" si="9"/>
        <v>○</v>
      </c>
      <c r="Z31" s="32">
        <f>IF(L31="閉","",(IF(AND(M31&gt;=VLOOKUP(M31,データ!$E$3:$G$9,1,TRUE),M31&lt;=VLOOKUP(M31,データ!$E$3:$G$9,2,TRUE)),VLOOKUP(M31,データ!$E$3:$H$9,4,TRUE),0)+IF(AND(M31&gt;=VLOOKUP(M31,データ!$E$14:$G$21,1,TRUE),M31&lt;=VLOOKUP(M31,データ!$E$14:$G$21,2,TRUE)),VLOOKUP(M31,データ!$E$14:$H$21,4,TRUE),0)))</f>
        <v>5</v>
      </c>
      <c r="AA31" s="33" t="str">
        <f t="shared" si="10"/>
        <v>○</v>
      </c>
      <c r="AB31" s="227">
        <f t="shared" si="11"/>
        <v>0.41666666666666669</v>
      </c>
      <c r="AC31" s="227">
        <f t="shared" si="14"/>
        <v>0.70833333333333337</v>
      </c>
      <c r="AD31" s="228" t="str">
        <f>IF(K31=1,IF(ISERROR(VLOOKUP(M31,データ!$A$3:$C$23,2,FALSE)),"",VLOOKUP(M31,データ!$A$3:$C$23,2,FALSE)),(IF(ISERROR(VLOOKUP(M31,データ!$A$3:$C$23,2,FALSE)),"",VLOOKUP(M31,データ!$A$3:$C$23,2,FALSE))))</f>
        <v/>
      </c>
    </row>
    <row r="32" spans="1:30">
      <c r="A32" s="1">
        <f>IF(AND(M32&gt;=VLOOKUP(M32,データ!$K$3:$O$6,1,TRUE),M32&lt;=VLOOKUP(M32,データ!$K$3:$O$6,2,TRUE)),VLOOKUP(M32,データ!$K$3:$O$6,5,TRUE),"")</f>
        <v>1</v>
      </c>
      <c r="B32" s="74">
        <f>IF(AND(M32&gt;=VLOOKUP(M32,データ!$K$3:$O$6,1,TRUE),M32&lt;=VLOOKUP(M32,データ!$K$3:$O$6,2,TRUE)),VLOOKUP(M32,データ!$K$3:$O$6,3,TRUE),"")</f>
        <v>0.41666666666666669</v>
      </c>
      <c r="C32" s="1">
        <f>IF(AND(M32&gt;=VLOOKUP(M32,データ!$K$11:$O$16,1,TRUE),M32&lt;=VLOOKUP(M32,データ!$K$11:$O$16,2,TRUE)),VLOOKUP(M32,データ!$K$11:$O$16,5,TRUE),0)</f>
        <v>0</v>
      </c>
      <c r="D32" s="74" t="str">
        <f>IF(AND(M32&gt;=VLOOKUP(M32,データ!$K$11:$O$16,1,TRUE),M32&lt;=VLOOKUP(M32,データ!$K$11:$O$16,2,TRUE)),VLOOKUP(M32,データ!$K$11:$O$16,3,TRUE),"")</f>
        <v/>
      </c>
      <c r="E32" s="74">
        <f t="shared" si="2"/>
        <v>0.41666666666666669</v>
      </c>
      <c r="F32" s="75">
        <f>VLOOKUP(E32,データ!$K$20:$O$24,5,FALSE)</f>
        <v>0</v>
      </c>
      <c r="G32" s="74">
        <f>IF(AND(M32&gt;=VLOOKUP(M32,データ!$K$3:$O$6,1,TRUE),M32&lt;=VLOOKUP(M32,データ!$K$3:$O$6,2,TRUE)),VLOOKUP(M32,データ!$K$3:$O$6,4,TRUE),"")</f>
        <v>0.70833333333333337</v>
      </c>
      <c r="H32" s="256">
        <f>INDEX(データ!L$21:N$24,MATCH(配置表!E32,データ!K$21:K$24,0),MATCH(配置表!G32,データ!L$20:N$20,0))</f>
        <v>1</v>
      </c>
      <c r="I32" s="52" t="str">
        <f>IF(ISERROR(VLOOKUP(M32,データ!$A$3:$C$20,3,FALSE)),"",VLOOKUP(M32,データ!$A$3:$C$20,3,FALSE))</f>
        <v/>
      </c>
      <c r="J32" s="52" t="str">
        <f t="shared" si="3"/>
        <v/>
      </c>
      <c r="K32" s="53">
        <f t="shared" si="12"/>
        <v>0</v>
      </c>
      <c r="L32" s="28" t="str">
        <f t="shared" si="0"/>
        <v/>
      </c>
      <c r="M32" s="9">
        <f t="shared" si="13"/>
        <v>45773</v>
      </c>
      <c r="N32" s="10" t="str">
        <f t="shared" si="4"/>
        <v>土</v>
      </c>
      <c r="O32" s="62" t="str">
        <f>IF(AND(M32&gt;=VLOOKUP(M32,データ!$E$3:$G$9,1,TRUE),M32&lt;=VLOOKUP(M32,データ!$E$3:$G$9,2,TRUE)),VLOOKUP(M32,データ!$E$3:$G$9,3,TRUE),"")</f>
        <v>春　特別展</v>
      </c>
      <c r="P32" s="63" t="str">
        <f>IF(AND(M32&gt;=VLOOKUP(M32,データ!$E$14:$G$21,1,TRUE),M32&lt;=VLOOKUP(M32,データ!$E$14:$G$21,2,TRUE)),VLOOKUP(M32,データ!$E$14:$G$21,3,TRUE),"")</f>
        <v>テーマ展</v>
      </c>
      <c r="Q32" s="44" t="str">
        <f t="shared" si="5"/>
        <v>○</v>
      </c>
      <c r="R32" s="45"/>
      <c r="S32" s="10" t="str">
        <f t="shared" ref="S32:S33" si="25">IF(L32="閉","休",IF(O32="","",IF(O32="冬　特別展",IF(OR(N32="土",N32="日",I32=1),"○",""),"○")))</f>
        <v>○</v>
      </c>
      <c r="T32" s="45"/>
      <c r="U32" s="33" t="str">
        <f t="shared" si="7"/>
        <v>●</v>
      </c>
      <c r="V32" s="32"/>
      <c r="W32" s="33" t="str">
        <f>IF(L32="閉","休",IF(O32="","",IF(OR(N32="土",N32="日",I32=1),IF(OR(O32="ダミー　特別展",O32="ダミー　特別展"),"◎",IF(OR(O32="夏　特別展",O32="秋　特別展",O32="春　特別展"),"◎","")),"")))</f>
        <v>◎</v>
      </c>
      <c r="X32" s="32"/>
      <c r="Y32" s="33" t="str">
        <f t="shared" si="9"/>
        <v>○</v>
      </c>
      <c r="Z32" s="32">
        <f>IF(L32="閉","",(IF(AND(M32&gt;=VLOOKUP(M32,データ!$E$3:$G$9,1,TRUE),M32&lt;=VLOOKUP(M32,データ!$E$3:$G$9,2,TRUE)),VLOOKUP(M32,データ!$E$3:$H$9,4,TRUE),0)+IF(AND(M32&gt;=VLOOKUP(M32,データ!$E$14:$G$21,1,TRUE),M32&lt;=VLOOKUP(M32,データ!$E$14:$G$21,2,TRUE)),VLOOKUP(M32,データ!$E$14:$H$21,4,TRUE),0)))</f>
        <v>5</v>
      </c>
      <c r="AA32" s="33" t="str">
        <f t="shared" si="10"/>
        <v>○</v>
      </c>
      <c r="AB32" s="227">
        <f t="shared" si="11"/>
        <v>0.41666666666666669</v>
      </c>
      <c r="AC32" s="227">
        <f t="shared" si="14"/>
        <v>0.70833333333333337</v>
      </c>
      <c r="AD32" s="228" t="str">
        <f>IF(K32=1,IF(ISERROR(VLOOKUP(M32,データ!$A$3:$C$23,2,FALSE)),"",VLOOKUP(M32,データ!$A$3:$C$23,2,FALSE)),(IF(ISERROR(VLOOKUP(M32,データ!$A$3:$C$23,2,FALSE)),"",VLOOKUP(M32,データ!$A$3:$C$23,2,FALSE))))</f>
        <v/>
      </c>
    </row>
    <row r="33" spans="1:30">
      <c r="A33" s="1">
        <f>IF(AND(M33&gt;=VLOOKUP(M33,データ!$K$3:$O$6,1,TRUE),M33&lt;=VLOOKUP(M33,データ!$K$3:$O$6,2,TRUE)),VLOOKUP(M33,データ!$K$3:$O$6,5,TRUE),"")</f>
        <v>1</v>
      </c>
      <c r="B33" s="74">
        <f>IF(AND(M33&gt;=VLOOKUP(M33,データ!$K$3:$O$6,1,TRUE),M33&lt;=VLOOKUP(M33,データ!$K$3:$O$6,2,TRUE)),VLOOKUP(M33,データ!$K$3:$O$6,3,TRUE),"")</f>
        <v>0.41666666666666669</v>
      </c>
      <c r="C33" s="1">
        <f>IF(AND(M33&gt;=VLOOKUP(M33,データ!$K$11:$O$16,1,TRUE),M33&lt;=VLOOKUP(M33,データ!$K$11:$O$16,2,TRUE)),VLOOKUP(M33,データ!$K$11:$O$16,5,TRUE),0)</f>
        <v>0</v>
      </c>
      <c r="D33" s="74" t="str">
        <f>IF(AND(M33&gt;=VLOOKUP(M33,データ!$K$11:$O$16,1,TRUE),M33&lt;=VLOOKUP(M33,データ!$K$11:$O$16,2,TRUE)),VLOOKUP(M33,データ!$K$11:$O$16,3,TRUE),"")</f>
        <v/>
      </c>
      <c r="E33" s="74">
        <f t="shared" si="2"/>
        <v>0.41666666666666669</v>
      </c>
      <c r="F33" s="75">
        <f>VLOOKUP(E33,データ!$K$20:$O$24,5,FALSE)</f>
        <v>0</v>
      </c>
      <c r="G33" s="74">
        <f>IF(AND(M33&gt;=VLOOKUP(M33,データ!$K$3:$O$6,1,TRUE),M33&lt;=VLOOKUP(M33,データ!$K$3:$O$6,2,TRUE)),VLOOKUP(M33,データ!$K$3:$O$6,4,TRUE),"")</f>
        <v>0.70833333333333337</v>
      </c>
      <c r="H33" s="256">
        <f>INDEX(データ!L$21:N$24,MATCH(配置表!E33,データ!K$21:K$24,0),MATCH(配置表!G33,データ!L$20:N$20,0))</f>
        <v>1</v>
      </c>
      <c r="I33" s="52" t="str">
        <f>IF(ISERROR(VLOOKUP(M33,データ!$A$3:$C$20,3,FALSE)),"",VLOOKUP(M33,データ!$A$3:$C$20,3,FALSE))</f>
        <v/>
      </c>
      <c r="J33" s="52" t="str">
        <f t="shared" si="3"/>
        <v/>
      </c>
      <c r="K33" s="53">
        <f t="shared" si="12"/>
        <v>0</v>
      </c>
      <c r="L33" s="28" t="str">
        <f t="shared" si="0"/>
        <v/>
      </c>
      <c r="M33" s="9">
        <f t="shared" si="13"/>
        <v>45774</v>
      </c>
      <c r="N33" s="10" t="str">
        <f t="shared" si="4"/>
        <v>日</v>
      </c>
      <c r="O33" s="62" t="str">
        <f>IF(AND(M33&gt;=VLOOKUP(M33,データ!$E$3:$G$9,1,TRUE),M33&lt;=VLOOKUP(M33,データ!$E$3:$G$9,2,TRUE)),VLOOKUP(M33,データ!$E$3:$G$9,3,TRUE),"")</f>
        <v>春　特別展</v>
      </c>
      <c r="P33" s="63" t="str">
        <f>IF(AND(M33&gt;=VLOOKUP(M33,データ!$E$14:$G$21,1,TRUE),M33&lt;=VLOOKUP(M33,データ!$E$14:$G$21,2,TRUE)),VLOOKUP(M33,データ!$E$14:$G$21,3,TRUE),"")</f>
        <v>テーマ展</v>
      </c>
      <c r="Q33" s="44" t="str">
        <f t="shared" si="5"/>
        <v>○</v>
      </c>
      <c r="R33" s="45"/>
      <c r="S33" s="10" t="str">
        <f t="shared" si="25"/>
        <v>○</v>
      </c>
      <c r="T33" s="45"/>
      <c r="U33" s="33" t="str">
        <f t="shared" si="7"/>
        <v>●</v>
      </c>
      <c r="V33" s="32"/>
      <c r="W33" s="33" t="str">
        <f>IF(L33="閉","休",IF(O33="","",IF(OR(N33="土",N33="日",I33=1),IF(OR(O33="ダミー　特別展",O33="ダミー　特別展"),"◎",IF(OR(O33="夏　特別展",O33="秋　特別展",O33="春　特別展"),"◎","")),"")))</f>
        <v>◎</v>
      </c>
      <c r="X33" s="32"/>
      <c r="Y33" s="33" t="str">
        <f t="shared" si="9"/>
        <v>○</v>
      </c>
      <c r="Z33" s="32">
        <f>IF(L33="閉","",(IF(AND(M33&gt;=VLOOKUP(M33,データ!$E$3:$G$9,1,TRUE),M33&lt;=VLOOKUP(M33,データ!$E$3:$G$9,2,TRUE)),VLOOKUP(M33,データ!$E$3:$H$9,4,TRUE),0)+IF(AND(M33&gt;=VLOOKUP(M33,データ!$E$14:$G$21,1,TRUE),M33&lt;=VLOOKUP(M33,データ!$E$14:$G$21,2,TRUE)),VLOOKUP(M33,データ!$E$14:$H$21,4,TRUE),0)))</f>
        <v>5</v>
      </c>
      <c r="AA33" s="33" t="str">
        <f t="shared" si="10"/>
        <v>○</v>
      </c>
      <c r="AB33" s="227">
        <f t="shared" si="11"/>
        <v>0.41666666666666669</v>
      </c>
      <c r="AC33" s="227">
        <f t="shared" si="14"/>
        <v>0.70833333333333337</v>
      </c>
      <c r="AD33" s="228" t="str">
        <f>IF(K33=1,IF(ISERROR(VLOOKUP(M33,データ!$A$3:$C$23,2,FALSE)),"",VLOOKUP(M33,データ!$A$3:$C$23,2,FALSE)),(IF(ISERROR(VLOOKUP(M33,データ!$A$3:$C$23,2,FALSE)),"",VLOOKUP(M33,データ!$A$3:$C$23,2,FALSE))))</f>
        <v/>
      </c>
    </row>
    <row r="34" spans="1:30">
      <c r="A34" s="1">
        <f>IF(AND(M34&gt;=VLOOKUP(M34,データ!$K$3:$O$6,1,TRUE),M34&lt;=VLOOKUP(M34,データ!$K$3:$O$6,2,TRUE)),VLOOKUP(M34,データ!$K$3:$O$6,5,TRUE),"")</f>
        <v>1</v>
      </c>
      <c r="B34" s="74">
        <f>IF(AND(M34&gt;=VLOOKUP(M34,データ!$K$3:$O$6,1,TRUE),M34&lt;=VLOOKUP(M34,データ!$K$3:$O$6,2,TRUE)),VLOOKUP(M34,データ!$K$3:$O$6,3,TRUE),"")</f>
        <v>0.41666666666666669</v>
      </c>
      <c r="C34" s="1">
        <f>IF(AND(M34&gt;=VLOOKUP(M34,データ!$K$11:$O$16,1,TRUE),M34&lt;=VLOOKUP(M34,データ!$K$11:$O$16,2,TRUE)),VLOOKUP(M34,データ!$K$11:$O$16,5,TRUE),0)</f>
        <v>0</v>
      </c>
      <c r="D34" s="74" t="str">
        <f>IF(AND(M34&gt;=VLOOKUP(M34,データ!$K$11:$O$16,1,TRUE),M34&lt;=VLOOKUP(M34,データ!$K$11:$O$16,2,TRUE)),VLOOKUP(M34,データ!$K$11:$O$16,3,TRUE),"")</f>
        <v/>
      </c>
      <c r="E34" s="74">
        <f t="shared" si="2"/>
        <v>0.41666666666666669</v>
      </c>
      <c r="F34" s="75">
        <f>VLOOKUP(E34,データ!$K$20:$O$24,5,FALSE)</f>
        <v>0</v>
      </c>
      <c r="G34" s="74">
        <f>IF(AND(M34&gt;=VLOOKUP(M34,データ!$K$3:$O$6,1,TRUE),M34&lt;=VLOOKUP(M34,データ!$K$3:$O$6,2,TRUE)),VLOOKUP(M34,データ!$K$3:$O$6,4,TRUE),"")</f>
        <v>0.70833333333333337</v>
      </c>
      <c r="H34" s="256">
        <f>INDEX(データ!L$21:N$24,MATCH(配置表!E34,データ!K$21:K$24,0),MATCH(配置表!G34,データ!L$20:N$20,0))</f>
        <v>1</v>
      </c>
      <c r="I34" s="52" t="str">
        <f>IF(ISERROR(VLOOKUP(M34,データ!$A$3:$C$20,3,FALSE)),"",VLOOKUP(M34,データ!$A$3:$C$20,3,FALSE))</f>
        <v/>
      </c>
      <c r="J34" s="52">
        <f t="shared" si="3"/>
        <v>1</v>
      </c>
      <c r="K34" s="53">
        <f t="shared" si="12"/>
        <v>1</v>
      </c>
      <c r="L34" s="28" t="str">
        <f t="shared" si="0"/>
        <v>閉</v>
      </c>
      <c r="M34" s="9">
        <f t="shared" si="13"/>
        <v>45775</v>
      </c>
      <c r="N34" s="10" t="str">
        <f t="shared" si="4"/>
        <v>月</v>
      </c>
      <c r="O34" s="62" t="str">
        <f>IF(AND(M34&gt;=VLOOKUP(M34,データ!$E$3:$G$9,1,TRUE),M34&lt;=VLOOKUP(M34,データ!$E$3:$G$9,2,TRUE)),VLOOKUP(M34,データ!$E$3:$G$9,3,TRUE),"")</f>
        <v>春　特別展</v>
      </c>
      <c r="P34" s="63" t="str">
        <f>IF(AND(M34&gt;=VLOOKUP(M34,データ!$E$14:$G$21,1,TRUE),M34&lt;=VLOOKUP(M34,データ!$E$14:$G$21,2,TRUE)),VLOOKUP(M34,データ!$E$14:$G$21,3,TRUE),"")</f>
        <v>テーマ展</v>
      </c>
      <c r="Q34" s="44" t="str">
        <f t="shared" si="5"/>
        <v>休</v>
      </c>
      <c r="R34" s="45"/>
      <c r="S34" s="10" t="str">
        <f t="shared" si="15"/>
        <v>休</v>
      </c>
      <c r="T34" s="45"/>
      <c r="U34" s="33" t="str">
        <f t="shared" si="7"/>
        <v>休</v>
      </c>
      <c r="V34" s="32"/>
      <c r="W34" s="33" t="str">
        <f t="shared" si="16"/>
        <v>休</v>
      </c>
      <c r="X34" s="32"/>
      <c r="Y34" s="33" t="str">
        <f t="shared" si="9"/>
        <v>休</v>
      </c>
      <c r="Z34" s="32" t="str">
        <f>IF(L34="閉","",(IF(AND(M34&gt;=VLOOKUP(M34,データ!$E$3:$G$9,1,TRUE),M34&lt;=VLOOKUP(M34,データ!$E$3:$G$9,2,TRUE)),VLOOKUP(M34,データ!$E$3:$H$9,4,TRUE),0)+IF(AND(M34&gt;=VLOOKUP(M34,データ!$E$14:$G$21,1,TRUE),M34&lt;=VLOOKUP(M34,データ!$E$14:$G$21,2,TRUE)),VLOOKUP(M34,データ!$E$14:$H$21,4,TRUE),0)))</f>
        <v/>
      </c>
      <c r="AA34" s="33" t="str">
        <f t="shared" si="10"/>
        <v>休</v>
      </c>
      <c r="AB34" s="227" t="str">
        <f t="shared" si="11"/>
        <v/>
      </c>
      <c r="AC34" s="227" t="str">
        <f t="shared" si="14"/>
        <v/>
      </c>
      <c r="AD34" s="228" t="str">
        <f>IF(K34=1,IF(ISERROR(VLOOKUP(M34,データ!$A$3:$C$23,2,FALSE)),"",VLOOKUP(M34,データ!$A$3:$C$23,2,FALSE)),(IF(ISERROR(VLOOKUP(M34,データ!$A$3:$C$23,2,FALSE)),"",VLOOKUP(M34,データ!$A$3:$C$23,2,FALSE))))</f>
        <v/>
      </c>
    </row>
    <row r="35" spans="1:30">
      <c r="A35" s="1">
        <f>IF(AND(M35&gt;=VLOOKUP(M35,データ!$K$3:$O$6,1,TRUE),M35&lt;=VLOOKUP(M35,データ!$K$3:$O$6,2,TRUE)),VLOOKUP(M35,データ!$K$3:$O$6,5,TRUE),"")</f>
        <v>1</v>
      </c>
      <c r="B35" s="74">
        <f>IF(AND(M35&gt;=VLOOKUP(M35,データ!$K$3:$O$6,1,TRUE),M35&lt;=VLOOKUP(M35,データ!$K$3:$O$6,2,TRUE)),VLOOKUP(M35,データ!$K$3:$O$6,3,TRUE),"")</f>
        <v>0.41666666666666669</v>
      </c>
      <c r="C35" s="1">
        <f>IF(AND(M35&gt;=VLOOKUP(M35,データ!$K$11:$O$16,1,TRUE),M35&lt;=VLOOKUP(M35,データ!$K$11:$O$16,2,TRUE)),VLOOKUP(M35,データ!$K$11:$O$16,5,TRUE),0)</f>
        <v>0</v>
      </c>
      <c r="D35" s="74" t="str">
        <f>IF(AND(M35&gt;=VLOOKUP(M35,データ!$K$11:$O$16,1,TRUE),M35&lt;=VLOOKUP(M35,データ!$K$11:$O$16,2,TRUE)),VLOOKUP(M35,データ!$K$11:$O$16,3,TRUE),"")</f>
        <v/>
      </c>
      <c r="E35" s="74">
        <f t="shared" si="2"/>
        <v>0.41666666666666669</v>
      </c>
      <c r="F35" s="75">
        <f>VLOOKUP(E35,データ!$K$20:$O$24,5,FALSE)</f>
        <v>0</v>
      </c>
      <c r="G35" s="74">
        <f>IF(AND(M35&gt;=VLOOKUP(M35,データ!$K$3:$O$6,1,TRUE),M35&lt;=VLOOKUP(M35,データ!$K$3:$O$6,2,TRUE)),VLOOKUP(M35,データ!$K$3:$O$6,4,TRUE),"")</f>
        <v>0.70833333333333337</v>
      </c>
      <c r="H35" s="256">
        <f>INDEX(データ!L$21:N$24,MATCH(配置表!E35,データ!K$21:K$24,0),MATCH(配置表!G35,データ!L$20:N$20,0))</f>
        <v>1</v>
      </c>
      <c r="I35" s="52">
        <f>IF(ISERROR(VLOOKUP(M35,データ!$A$3:$C$20,3,FALSE)),"",VLOOKUP(M35,データ!$A$3:$C$20,3,FALSE))</f>
        <v>1</v>
      </c>
      <c r="J35" s="52" t="str">
        <f t="shared" si="3"/>
        <v/>
      </c>
      <c r="K35" s="53">
        <f t="shared" si="12"/>
        <v>0</v>
      </c>
      <c r="L35" s="28" t="str">
        <f t="shared" si="0"/>
        <v/>
      </c>
      <c r="M35" s="9">
        <f t="shared" si="13"/>
        <v>45776</v>
      </c>
      <c r="N35" s="10" t="str">
        <f t="shared" si="4"/>
        <v>火</v>
      </c>
      <c r="O35" s="62" t="str">
        <f>IF(AND(M35&gt;=VLOOKUP(M35,データ!$E$3:$G$9,1,TRUE),M35&lt;=VLOOKUP(M35,データ!$E$3:$G$9,2,TRUE)),VLOOKUP(M35,データ!$E$3:$G$9,3,TRUE),"")</f>
        <v>春　特別展</v>
      </c>
      <c r="P35" s="63" t="str">
        <f>IF(AND(M35&gt;=VLOOKUP(M35,データ!$E$14:$G$21,1,TRUE),M35&lt;=VLOOKUP(M35,データ!$E$14:$G$21,2,TRUE)),VLOOKUP(M35,データ!$E$14:$G$21,3,TRUE),"")</f>
        <v>テーマ展</v>
      </c>
      <c r="Q35" s="44" t="str">
        <f t="shared" si="5"/>
        <v>○</v>
      </c>
      <c r="R35" s="45"/>
      <c r="S35" s="10" t="str">
        <f t="shared" si="15"/>
        <v>○</v>
      </c>
      <c r="T35" s="45"/>
      <c r="U35" s="33" t="str">
        <f t="shared" ref="U35" si="26">IF(L35="閉","休",IF(S35="","●","●"))</f>
        <v>●</v>
      </c>
      <c r="V35" s="32"/>
      <c r="W35" s="33" t="str">
        <f>IF(L35="閉","休",IF(O35="","",IF(OR(N35="土",N35="日",I35=1),IF(OR(O35="ダミー　特別展",O35="ダミー　特別展"),"◎",IF(OR(O35="夏　特別展",O35="秋　特別展",O35="春　特別展"),"◎","")),"")))</f>
        <v>◎</v>
      </c>
      <c r="X35" s="32"/>
      <c r="Y35" s="33" t="str">
        <f t="shared" ref="Y35" si="27">IF(L35="閉","休",IF(H35=1,"○",IF(H35=2,"●","Err")))</f>
        <v>○</v>
      </c>
      <c r="Z35" s="32">
        <f>IF(L35="閉","",(IF(AND(M35&gt;=VLOOKUP(M35,データ!$E$3:$G$9,1,TRUE),M35&lt;=VLOOKUP(M35,データ!$E$3:$G$9,2,TRUE)),VLOOKUP(M35,データ!$E$3:$H$9,4,TRUE),0)+IF(AND(M35&gt;=VLOOKUP(M35,データ!$E$14:$G$21,1,TRUE),M35&lt;=VLOOKUP(M35,データ!$E$14:$G$21,2,TRUE)),VLOOKUP(M35,データ!$E$14:$H$21,4,TRUE),0)))</f>
        <v>5</v>
      </c>
      <c r="AA35" s="33" t="str">
        <f t="shared" si="10"/>
        <v>○</v>
      </c>
      <c r="AB35" s="227">
        <f t="shared" si="11"/>
        <v>0.41666666666666669</v>
      </c>
      <c r="AC35" s="227">
        <f t="shared" si="14"/>
        <v>0.70833333333333337</v>
      </c>
      <c r="AD35" s="228" t="str">
        <f>IF(K35=1,IF(ISERROR(VLOOKUP(M35,データ!$A$3:$C$23,2,FALSE)),"",VLOOKUP(M35,データ!$A$3:$C$23,2,FALSE)),(IF(ISERROR(VLOOKUP(M35,データ!$A$3:$C$23,2,FALSE)),"",VLOOKUP(M35,データ!$A$3:$C$23,2,FALSE))))</f>
        <v>昭和の日</v>
      </c>
    </row>
    <row r="36" spans="1:30">
      <c r="A36" s="1">
        <f>IF(AND(M36&gt;=VLOOKUP(M36,データ!$K$3:$O$6,1,TRUE),M36&lt;=VLOOKUP(M36,データ!$K$3:$O$6,2,TRUE)),VLOOKUP(M36,データ!$K$3:$O$6,5,TRUE),"")</f>
        <v>1</v>
      </c>
      <c r="B36" s="74">
        <f>IF(AND(M36&gt;=VLOOKUP(M36,データ!$K$3:$O$6,1,TRUE),M36&lt;=VLOOKUP(M36,データ!$K$3:$O$6,2,TRUE)),VLOOKUP(M36,データ!$K$3:$O$6,3,TRUE),"")</f>
        <v>0.41666666666666669</v>
      </c>
      <c r="C36" s="1">
        <f>IF(AND(M36&gt;=VLOOKUP(M36,データ!$K$11:$O$16,1,TRUE),M36&lt;=VLOOKUP(M36,データ!$K$11:$O$16,2,TRUE)),VLOOKUP(M36,データ!$K$11:$O$16,5,TRUE),0)</f>
        <v>0</v>
      </c>
      <c r="D36" s="74" t="str">
        <f>IF(AND(M36&gt;=VLOOKUP(M36,データ!$K$11:$O$16,1,TRUE),M36&lt;=VLOOKUP(M36,データ!$K$11:$O$16,2,TRUE)),VLOOKUP(M36,データ!$K$11:$O$16,3,TRUE),"")</f>
        <v/>
      </c>
      <c r="E36" s="74">
        <f t="shared" si="2"/>
        <v>0.41666666666666669</v>
      </c>
      <c r="F36" s="75">
        <f>VLOOKUP(E36,データ!$K$20:$O$24,5,FALSE)</f>
        <v>0</v>
      </c>
      <c r="G36" s="74">
        <f>IF(AND(M36&gt;=VLOOKUP(M36,データ!$K$3:$O$6,1,TRUE),M36&lt;=VLOOKUP(M36,データ!$K$3:$O$6,2,TRUE)),VLOOKUP(M36,データ!$K$3:$O$6,4,TRUE),"")</f>
        <v>0.70833333333333337</v>
      </c>
      <c r="H36" s="256">
        <f>INDEX(データ!L$21:N$24,MATCH(配置表!E36,データ!K$21:K$24,0),MATCH(配置表!G36,データ!L$20:N$20,0))</f>
        <v>1</v>
      </c>
      <c r="I36" s="52" t="str">
        <f>IF(ISERROR(VLOOKUP(M36,データ!$A$3:$C$20,3,FALSE)),"",VLOOKUP(M36,データ!$A$3:$C$20,3,FALSE))</f>
        <v/>
      </c>
      <c r="J36" s="52" t="str">
        <f t="shared" si="3"/>
        <v/>
      </c>
      <c r="K36" s="53">
        <f t="shared" si="12"/>
        <v>0</v>
      </c>
      <c r="L36" s="28" t="str">
        <f t="shared" si="0"/>
        <v/>
      </c>
      <c r="M36" s="9">
        <f t="shared" si="13"/>
        <v>45777</v>
      </c>
      <c r="N36" s="10" t="str">
        <f t="shared" si="4"/>
        <v>水</v>
      </c>
      <c r="O36" s="62" t="str">
        <f>IF(AND(M36&gt;=VLOOKUP(M36,データ!$E$3:$G$9,1,TRUE),M36&lt;=VLOOKUP(M36,データ!$E$3:$G$9,2,TRUE)),VLOOKUP(M36,データ!$E$3:$G$9,3,TRUE),"")</f>
        <v>春　特別展</v>
      </c>
      <c r="P36" s="63" t="str">
        <f>IF(AND(M36&gt;=VLOOKUP(M36,データ!$E$14:$G$21,1,TRUE),M36&lt;=VLOOKUP(M36,データ!$E$14:$G$21,2,TRUE)),VLOOKUP(M36,データ!$E$14:$G$21,3,TRUE),"")</f>
        <v>テーマ展</v>
      </c>
      <c r="Q36" s="44" t="str">
        <f t="shared" si="5"/>
        <v>○</v>
      </c>
      <c r="R36" s="45"/>
      <c r="S36" s="33" t="str">
        <f t="shared" ref="S36" si="28">IF(H36="閉","休",IF(K36="","",IF(OR(J36="土",J36="日",E36=1),IF(OR(K36="ダミー　特別展",K36="ダミー　特別展"),"◎",IF(OR(K36="夏　特別展",K36="秋　特別展",K36="春　特別展"),"○","")),"")))</f>
        <v/>
      </c>
      <c r="T36" s="45"/>
      <c r="U36" s="33" t="str">
        <f t="shared" ref="U36" si="29">IF(L36="閉","休",IF(S36="","●","●"))</f>
        <v>●</v>
      </c>
      <c r="V36" s="32"/>
      <c r="W36" s="10" t="str">
        <f t="shared" ref="W36" si="30">IF(P36="閉","休",IF(O36="","",IF(O36="冬　特別展",IF(OR(N36="土",N36="日",M36=1),"○",""),"○")))</f>
        <v>○</v>
      </c>
      <c r="X36" s="32"/>
      <c r="Y36" s="33" t="str">
        <f t="shared" si="9"/>
        <v>○</v>
      </c>
      <c r="Z36" s="32">
        <f>IF(L36="閉","",(IF(AND(M36&gt;=VLOOKUP(M36,データ!$E$3:$G$9,1,TRUE),M36&lt;=VLOOKUP(M36,データ!$E$3:$G$9,2,TRUE)),VLOOKUP(M36,データ!$E$3:$H$9,4,TRUE),0)+IF(AND(M36&gt;=VLOOKUP(M36,データ!$E$14:$G$21,1,TRUE),M36&lt;=VLOOKUP(M36,データ!$E$14:$G$21,2,TRUE)),VLOOKUP(M36,データ!$E$14:$H$21,4,TRUE),0)))</f>
        <v>5</v>
      </c>
      <c r="AA36" s="33" t="str">
        <f t="shared" si="10"/>
        <v>○</v>
      </c>
      <c r="AB36" s="227">
        <f t="shared" si="11"/>
        <v>0.41666666666666669</v>
      </c>
      <c r="AC36" s="227">
        <f t="shared" si="14"/>
        <v>0.70833333333333337</v>
      </c>
      <c r="AD36" s="228" t="str">
        <f>IF(K36=1,IF(ISERROR(VLOOKUP(M36,データ!$A$3:$C$23,2,FALSE)),"",VLOOKUP(M36,データ!$A$3:$C$23,2,FALSE)),(IF(ISERROR(VLOOKUP(M36,データ!$A$3:$C$23,2,FALSE)),"",VLOOKUP(M36,データ!$A$3:$C$23,2,FALSE))))</f>
        <v/>
      </c>
    </row>
    <row r="37" spans="1:30" ht="12" thickBot="1">
      <c r="H37" s="256"/>
      <c r="I37" s="52"/>
      <c r="J37" s="52"/>
      <c r="K37" s="53"/>
      <c r="L37" s="28" t="str">
        <f t="shared" ref="L37:L71" si="31">IF(K37=1,"閉","")</f>
        <v/>
      </c>
      <c r="M37" s="29"/>
      <c r="N37" s="22"/>
      <c r="O37" s="64"/>
      <c r="P37" s="65"/>
      <c r="Q37" s="40" t="s">
        <v>2</v>
      </c>
      <c r="R37" s="41"/>
      <c r="S37" s="22"/>
      <c r="T37" s="41"/>
      <c r="U37" s="34"/>
      <c r="V37" s="23"/>
      <c r="W37" s="34"/>
      <c r="X37" s="23"/>
      <c r="Y37" s="34" t="s">
        <v>2</v>
      </c>
      <c r="Z37" s="23"/>
      <c r="AA37" s="34" t="s">
        <v>2</v>
      </c>
      <c r="AB37" s="229" t="str">
        <f>IF(ISERROR(VLOOKUP(M37,データ!$A$3:$C$23,2,FALSE)),"",VLOOKUP(M37,データ!$A$3:$C$23,2,FALSE))</f>
        <v/>
      </c>
      <c r="AC37" s="230"/>
      <c r="AD37" s="231"/>
    </row>
    <row r="38" spans="1:30" ht="14.25" thickBot="1">
      <c r="H38" s="256"/>
      <c r="I38" s="52"/>
      <c r="J38" s="52"/>
      <c r="K38" s="53"/>
      <c r="L38" s="28" t="str">
        <f t="shared" si="31"/>
        <v/>
      </c>
      <c r="M38" s="57"/>
      <c r="N38" s="50"/>
      <c r="O38" s="50"/>
      <c r="P38" s="50"/>
      <c r="Q38" s="42"/>
      <c r="R38" s="42"/>
      <c r="S38" s="42"/>
      <c r="T38" s="42"/>
      <c r="U38" s="42"/>
      <c r="V38" s="43"/>
      <c r="W38" s="42"/>
      <c r="X38" s="43"/>
      <c r="Y38" s="42"/>
      <c r="Z38" s="43"/>
      <c r="AA38" s="42"/>
      <c r="AB38" s="223" t="str">
        <f>IF(ISERROR(VLOOKUP(M38,データ!$A$3:$C$23,2,FALSE)),"",VLOOKUP(M38,データ!$A$3:$C$23,2,FALSE))</f>
        <v/>
      </c>
      <c r="AC38" s="2"/>
    </row>
    <row r="39" spans="1:30" customFormat="1" ht="27.75" customHeight="1" thickBot="1">
      <c r="H39" s="257"/>
      <c r="I39" s="52"/>
      <c r="J39" s="52"/>
      <c r="K39" s="53"/>
      <c r="L39" s="28" t="str">
        <f t="shared" si="31"/>
        <v/>
      </c>
      <c r="M39" s="58"/>
      <c r="N39" s="59"/>
      <c r="O39" s="42" t="s">
        <v>5</v>
      </c>
      <c r="P39" s="60" t="s">
        <v>6</v>
      </c>
      <c r="Q39" s="48" t="s">
        <v>8</v>
      </c>
      <c r="R39" s="362" t="s">
        <v>13</v>
      </c>
      <c r="S39" s="363"/>
      <c r="T39" s="362" t="s">
        <v>14</v>
      </c>
      <c r="U39" s="363"/>
      <c r="V39" s="362" t="s">
        <v>9</v>
      </c>
      <c r="W39" s="363"/>
      <c r="X39" s="362" t="s">
        <v>10</v>
      </c>
      <c r="Y39" s="363"/>
      <c r="Z39" s="354" t="s">
        <v>1</v>
      </c>
      <c r="AA39" s="355"/>
      <c r="AB39" s="38" t="s">
        <v>114</v>
      </c>
      <c r="AC39" s="38" t="s">
        <v>35</v>
      </c>
      <c r="AD39" s="38" t="s">
        <v>116</v>
      </c>
    </row>
    <row r="40" spans="1:30" ht="13.5">
      <c r="A40" s="1">
        <f>IF(AND(M40&gt;=VLOOKUP(M40,データ!$K$3:$O$6,1,TRUE),M40&lt;=VLOOKUP(M40,データ!$K$3:$O$6,2,TRUE)),VLOOKUP(M40,データ!$K$3:$O$6,5,TRUE),"")</f>
        <v>1</v>
      </c>
      <c r="B40" s="74">
        <f>IF(AND(M40&gt;=VLOOKUP(M40,データ!$K$3:$O$6,1,TRUE),M40&lt;=VLOOKUP(M40,データ!$K$3:$O$6,2,TRUE)),VLOOKUP(M40,データ!$K$3:$O$6,3,TRUE),"")</f>
        <v>0.41666666666666669</v>
      </c>
      <c r="C40" s="1">
        <f>IF(AND(M40&gt;=VLOOKUP(M40,データ!$K$11:$O$16,1,TRUE),M40&lt;=VLOOKUP(M40,データ!$K$11:$O$16,2,TRUE)),VLOOKUP(M40,データ!$K$11:$O$16,5,TRUE),0)</f>
        <v>0</v>
      </c>
      <c r="D40" s="74" t="str">
        <f>IF(AND(M40&gt;=VLOOKUP(M40,データ!$K$11:$O$16,1,TRUE),M40&lt;=VLOOKUP(M40,データ!$K$11:$O$16,2,TRUE)),VLOOKUP(M40,データ!$K$11:$O$16,3,TRUE),"")</f>
        <v/>
      </c>
      <c r="E40" s="74">
        <f t="shared" ref="E40:E42" si="32">IF(C40=2,IF(OR(N40="土",N40="日"),D40,B40),IF(C40=1,D40,B40))</f>
        <v>0.41666666666666669</v>
      </c>
      <c r="F40" s="75">
        <f>VLOOKUP(E40,データ!$K$20:$O$24,5,FALSE)</f>
        <v>0</v>
      </c>
      <c r="G40" s="74">
        <f>IF(AND(M40&gt;=VLOOKUP(M40,データ!$K$3:$O$6,1,TRUE),M40&lt;=VLOOKUP(M40,データ!$K$3:$O$6,2,TRUE)),VLOOKUP(M40,データ!$K$3:$O$6,4,TRUE),"")</f>
        <v>0.70833333333333337</v>
      </c>
      <c r="H40" s="256">
        <f>INDEX(データ!L$21:N$24,MATCH(配置表!E40,データ!K$21:K$24,0),MATCH(配置表!G40,データ!L$20:N$20,0))</f>
        <v>1</v>
      </c>
      <c r="I40" s="52" t="str">
        <f>IF(ISERROR(VLOOKUP(M40,データ!$A$3:$C$20,3,FALSE)),"",VLOOKUP(M40,データ!$A$3:$C$20,3,FALSE))</f>
        <v/>
      </c>
      <c r="J40" s="52" t="str">
        <f t="shared" ref="J40:J42" si="33">IF(N40="月",1,"")</f>
        <v/>
      </c>
      <c r="K40" s="53">
        <f>IF(K36=2,IF(I40=1,2,1),IF(I40=1,IF(J40=1,2,0),IF(J40=1,1,0)))</f>
        <v>0</v>
      </c>
      <c r="L40" s="28" t="str">
        <f t="shared" ref="L40:L70" si="34">IF(AND(O40="",P40=""),"閉",IF(K40=1,"閉",""))</f>
        <v/>
      </c>
      <c r="M40" s="25">
        <f>M36+1</f>
        <v>45778</v>
      </c>
      <c r="N40" s="24" t="str">
        <f t="shared" ref="N40:N70" si="35">TEXT(WEEKDAY(M40,1),"aaa")</f>
        <v>木</v>
      </c>
      <c r="O40" s="62" t="str">
        <f>IF(AND(M40&gt;=VLOOKUP(M40,データ!$E$3:$G$9,1,TRUE),M40&lt;=VLOOKUP(M40,データ!$E$3:$G$9,2,TRUE)),VLOOKUP(M40,データ!$E$3:$G$9,3,TRUE),"")</f>
        <v>春　特別展</v>
      </c>
      <c r="P40" s="66" t="str">
        <f>IF(AND(M40&gt;=VLOOKUP(M40,データ!$E$14:$G$21,1,TRUE),M40&lt;=VLOOKUP(M40,データ!$E$14:$G$21,2,TRUE)),VLOOKUP(M40,データ!$E$14:$G$21,3,TRUE),"")</f>
        <v>テーマ展</v>
      </c>
      <c r="Q40" s="44" t="str">
        <f>IF(L40="閉","休","○")</f>
        <v>○</v>
      </c>
      <c r="R40" s="45"/>
      <c r="S40" s="33" t="str">
        <f>IF(H40="閉","休",IF(K40="","",IF(OR(J40="土",J40="日",E40=1),IF(OR(K40="ダミー　特別展",K40="ダミー　特別展"),"◎",IF(OR(K40="夏　特別展",K40="秋　特別展",K40="春　特別展"),"○","")),"")))</f>
        <v/>
      </c>
      <c r="T40" s="338"/>
      <c r="U40" s="47" t="str">
        <f>IF(L40="閉","休",IF(S40="","●","●"))</f>
        <v>●</v>
      </c>
      <c r="V40" s="32"/>
      <c r="W40" s="47" t="str">
        <f>IF(P40="閉","休",IF(O40="","",IF(O40="冬　特別展",IF(OR(N40="土",N40="日",M40=1),"○",""),"○")))</f>
        <v>○</v>
      </c>
      <c r="X40" s="26"/>
      <c r="Y40" s="33" t="str">
        <f t="shared" ref="Y40:Y70" si="36">IF(L40="閉","休",IF(H40=1,"○",IF(H40=2,"●","Err")))</f>
        <v>○</v>
      </c>
      <c r="Z40" s="8">
        <f>IF(L40="閉","",(IF(AND(M40&gt;=VLOOKUP(M40,データ!$E$3:$G$9,1,TRUE),M40&lt;=VLOOKUP(M40,データ!$E$3:$G$9,2,TRUE)),VLOOKUP(M40,データ!$E$3:$H$9,4,TRUE),0)+IF(AND(M40&gt;=VLOOKUP(M40,データ!$E$14:$G$21,1,TRUE),M40&lt;=VLOOKUP(M40,データ!$E$14:$G$21,2,TRUE)),VLOOKUP(M40,データ!$E$14:$H$21,4,TRUE),0)))</f>
        <v>5</v>
      </c>
      <c r="AA40" s="33" t="str">
        <f t="shared" ref="AA40:AA70" si="37">IF(L40="閉","休",IF(O40="","△",IF(H40=1,"○",IF(H40=2,"●","Err"))))</f>
        <v>○</v>
      </c>
      <c r="AB40" s="232">
        <f t="shared" ref="AB40:AB70" si="38">IF(K40=1,"",E40)</f>
        <v>0.41666666666666669</v>
      </c>
      <c r="AC40" s="232">
        <f t="shared" ref="AC40:AC70" si="39">IF(K40=1,"",G40)</f>
        <v>0.70833333333333337</v>
      </c>
      <c r="AD40" s="226" t="str">
        <f>IF(K40=1,IF(ISERROR(VLOOKUP(M40,データ!$A$3:$C$23,2,FALSE)),"",VLOOKUP(M40,データ!$A$3:$C$23,2,FALSE)),(IF(ISERROR(VLOOKUP(M40,データ!$A$3:$C$23,2,FALSE)),"",VLOOKUP(M40,データ!$A$3:$C$23,2,FALSE))))</f>
        <v/>
      </c>
    </row>
    <row r="41" spans="1:30" customFormat="1" ht="13.5">
      <c r="A41" s="1">
        <f>IF(AND(M41&gt;=VLOOKUP(M41,データ!$K$3:$O$6,1,TRUE),M41&lt;=VLOOKUP(M41,データ!$K$3:$O$6,2,TRUE)),VLOOKUP(M41,データ!$K$3:$O$6,5,TRUE),"")</f>
        <v>1</v>
      </c>
      <c r="B41" s="74">
        <f>IF(AND(M41&gt;=VLOOKUP(M41,データ!$K$3:$O$6,1,TRUE),M41&lt;=VLOOKUP(M41,データ!$K$3:$O$6,2,TRUE)),VLOOKUP(M41,データ!$K$3:$O$6,3,TRUE),"")</f>
        <v>0.41666666666666669</v>
      </c>
      <c r="C41" s="1">
        <f>IF(AND(M41&gt;=VLOOKUP(M41,データ!$K$11:$O$16,1,TRUE),M41&lt;=VLOOKUP(M41,データ!$K$11:$O$16,2,TRUE)),VLOOKUP(M41,データ!$K$11:$O$16,5,TRUE),0)</f>
        <v>0</v>
      </c>
      <c r="D41" s="74" t="str">
        <f>IF(AND(M41&gt;=VLOOKUP(M41,データ!$K$11:$O$16,1,TRUE),M41&lt;=VLOOKUP(M41,データ!$K$11:$O$16,2,TRUE)),VLOOKUP(M41,データ!$K$11:$O$16,3,TRUE),"")</f>
        <v/>
      </c>
      <c r="E41" s="74">
        <f t="shared" si="32"/>
        <v>0.41666666666666669</v>
      </c>
      <c r="F41" s="75">
        <f>VLOOKUP(E41,データ!$K$20:$O$24,5,FALSE)</f>
        <v>0</v>
      </c>
      <c r="G41" s="74">
        <f>IF(AND(M41&gt;=VLOOKUP(M41,データ!$K$3:$O$6,1,TRUE),M41&lt;=VLOOKUP(M41,データ!$K$3:$O$6,2,TRUE)),VLOOKUP(M41,データ!$K$3:$O$6,4,TRUE),"")</f>
        <v>0.70833333333333337</v>
      </c>
      <c r="H41" s="256">
        <f>INDEX(データ!L$21:N$24,MATCH(配置表!E41,データ!K$21:K$24,0),MATCH(配置表!G41,データ!L$20:N$20,0))</f>
        <v>1</v>
      </c>
      <c r="I41" s="52" t="str">
        <f>IF(ISERROR(VLOOKUP(M41,データ!$A$3:$C$20,3,FALSE)),"",VLOOKUP(M41,データ!$A$3:$C$20,3,FALSE))</f>
        <v/>
      </c>
      <c r="J41" s="52" t="str">
        <f t="shared" si="33"/>
        <v/>
      </c>
      <c r="K41" s="53">
        <f>IF(K40=2,IF(I41=1,2,1),IF(I41=1,IF(J41=1,2,0),IF(J41=1,1,0)))</f>
        <v>0</v>
      </c>
      <c r="L41" s="28" t="str">
        <f t="shared" si="34"/>
        <v/>
      </c>
      <c r="M41" s="9">
        <f>M40+1</f>
        <v>45779</v>
      </c>
      <c r="N41" s="10" t="str">
        <f t="shared" si="35"/>
        <v>金</v>
      </c>
      <c r="O41" s="62" t="str">
        <f>IF(AND(M41&gt;=VLOOKUP(M41,データ!$E$3:$G$9,1,TRUE),M41&lt;=VLOOKUP(M41,データ!$E$3:$G$9,2,TRUE)),VLOOKUP(M41,データ!$E$3:$G$9,3,TRUE),"")</f>
        <v>春　特別展</v>
      </c>
      <c r="P41" s="67" t="str">
        <f>IF(AND(M41&gt;=VLOOKUP(M41,データ!$E$14:$G$21,1,TRUE),M41&lt;=VLOOKUP(M41,データ!$E$14:$G$21,2,TRUE)),VLOOKUP(M41,データ!$E$14:$G$21,3,TRUE),"")</f>
        <v>テーマ展</v>
      </c>
      <c r="Q41" s="44" t="str">
        <f t="shared" ref="Q41:Q64" si="40">IF(L41="閉","休","○")</f>
        <v>○</v>
      </c>
      <c r="R41" s="45"/>
      <c r="S41" s="33" t="str">
        <f t="shared" ref="S41" si="41">IF(H41="閉","休",IF(K41="","",IF(OR(J41="土",J41="日",E41=1),IF(OR(K41="ダミー　特別展",K41="ダミー　特別展"),"◎",IF(OR(K41="夏　特別展",K41="秋　特別展",K41="春　特別展"),"○","")),"")))</f>
        <v/>
      </c>
      <c r="T41" s="45"/>
      <c r="U41" s="33" t="str">
        <f t="shared" ref="U41" si="42">IF(L41="閉","休",IF(S41="","●","●"))</f>
        <v>●</v>
      </c>
      <c r="V41" s="32"/>
      <c r="W41" s="33" t="str">
        <f t="shared" ref="W41" si="43">IF(P41="閉","休",IF(O41="","",IF(O41="冬　特別展",IF(OR(N41="土",N41="日",M41=1),"○",""),"○")))</f>
        <v>○</v>
      </c>
      <c r="X41" s="26"/>
      <c r="Y41" s="33" t="str">
        <f t="shared" si="36"/>
        <v>○</v>
      </c>
      <c r="Z41" s="8">
        <f>IF(L41="閉","",(IF(AND(M41&gt;=VLOOKUP(M41,データ!$E$3:$G$9,1,TRUE),M41&lt;=VLOOKUP(M41,データ!$E$3:$G$9,2,TRUE)),VLOOKUP(M41,データ!$E$3:$H$9,4,TRUE),0)+IF(AND(M41&gt;=VLOOKUP(M41,データ!$E$14:$G$21,1,TRUE),M41&lt;=VLOOKUP(M41,データ!$E$14:$G$21,2,TRUE)),VLOOKUP(M41,データ!$E$14:$H$21,4,TRUE),0)))</f>
        <v>5</v>
      </c>
      <c r="AA41" s="33" t="str">
        <f t="shared" si="37"/>
        <v>○</v>
      </c>
      <c r="AB41" s="227">
        <f t="shared" si="38"/>
        <v>0.41666666666666669</v>
      </c>
      <c r="AC41" s="227">
        <f t="shared" si="39"/>
        <v>0.70833333333333337</v>
      </c>
      <c r="AD41" s="228" t="str">
        <f>IF(K41=1,IF(ISERROR(VLOOKUP(M41,データ!$A$3:$C$23,2,FALSE)),"",VLOOKUP(M41,データ!$A$3:$C$23,2,FALSE)),(IF(ISERROR(VLOOKUP(M41,データ!$A$3:$C$23,2,FALSE)),"",VLOOKUP(M41,データ!$A$3:$C$23,2,FALSE))))</f>
        <v/>
      </c>
    </row>
    <row r="42" spans="1:30" customFormat="1" ht="13.5">
      <c r="A42" s="1">
        <f>IF(AND(M42&gt;=VLOOKUP(M42,データ!$K$3:$O$6,1,TRUE),M42&lt;=VLOOKUP(M42,データ!$K$3:$O$6,2,TRUE)),VLOOKUP(M42,データ!$K$3:$O$6,5,TRUE),"")</f>
        <v>1</v>
      </c>
      <c r="B42" s="74">
        <f>IF(AND(M42&gt;=VLOOKUP(M42,データ!$K$3:$O$6,1,TRUE),M42&lt;=VLOOKUP(M42,データ!$K$3:$O$6,2,TRUE)),VLOOKUP(M42,データ!$K$3:$O$6,3,TRUE),"")</f>
        <v>0.41666666666666669</v>
      </c>
      <c r="C42" s="1">
        <f>IF(AND(M42&gt;=VLOOKUP(M42,データ!$K$11:$O$16,1,TRUE),M42&lt;=VLOOKUP(M42,データ!$K$11:$O$16,2,TRUE)),VLOOKUP(M42,データ!$K$11:$O$16,5,TRUE),0)</f>
        <v>0</v>
      </c>
      <c r="D42" s="74" t="str">
        <f>IF(AND(M42&gt;=VLOOKUP(M42,データ!$K$11:$O$16,1,TRUE),M42&lt;=VLOOKUP(M42,データ!$K$11:$O$16,2,TRUE)),VLOOKUP(M42,データ!$K$11:$O$16,3,TRUE),"")</f>
        <v/>
      </c>
      <c r="E42" s="74">
        <f t="shared" si="32"/>
        <v>0.41666666666666669</v>
      </c>
      <c r="F42" s="75">
        <f>VLOOKUP(E42,データ!$K$20:$O$24,5,FALSE)</f>
        <v>0</v>
      </c>
      <c r="G42" s="74">
        <f>IF(AND(M42&gt;=VLOOKUP(M42,データ!$K$3:$O$6,1,TRUE),M42&lt;=VLOOKUP(M42,データ!$K$3:$O$6,2,TRUE)),VLOOKUP(M42,データ!$K$3:$O$6,4,TRUE),"")</f>
        <v>0.70833333333333337</v>
      </c>
      <c r="H42" s="256">
        <f>INDEX(データ!L$21:N$24,MATCH(配置表!E42,データ!K$21:K$24,0),MATCH(配置表!G42,データ!L$20:N$20,0))</f>
        <v>1</v>
      </c>
      <c r="I42" s="52">
        <f>IF(ISERROR(VLOOKUP(M42,データ!$A$3:$C$20,3,FALSE)),"",VLOOKUP(M42,データ!$A$3:$C$20,3,FALSE))</f>
        <v>1</v>
      </c>
      <c r="J42" s="52" t="str">
        <f t="shared" si="33"/>
        <v/>
      </c>
      <c r="K42" s="53">
        <f t="shared" ref="K42:K70" si="44">IF(K41=2,IF(I42=1,2,1),IF(I42=1,IF(J42=1,2,0),IF(J42=1,1,0)))</f>
        <v>0</v>
      </c>
      <c r="L42" s="28" t="str">
        <f t="shared" si="34"/>
        <v/>
      </c>
      <c r="M42" s="9">
        <f t="shared" ref="M42:M70" si="45">M41+1</f>
        <v>45780</v>
      </c>
      <c r="N42" s="10" t="str">
        <f t="shared" si="35"/>
        <v>土</v>
      </c>
      <c r="O42" s="62" t="str">
        <f>IF(AND(M42&gt;=VLOOKUP(M42,データ!$E$3:$G$9,1,TRUE),M42&lt;=VLOOKUP(M42,データ!$E$3:$G$9,2,TRUE)),VLOOKUP(M42,データ!$E$3:$G$9,3,TRUE),"")</f>
        <v>春　特別展</v>
      </c>
      <c r="P42" s="67" t="str">
        <f>IF(AND(M42&gt;=VLOOKUP(M42,データ!$E$14:$G$21,1,TRUE),M42&lt;=VLOOKUP(M42,データ!$E$14:$G$21,2,TRUE)),VLOOKUP(M42,データ!$E$14:$G$21,3,TRUE),"")</f>
        <v>テーマ展</v>
      </c>
      <c r="Q42" s="44" t="str">
        <f t="shared" si="40"/>
        <v>○</v>
      </c>
      <c r="R42" s="45"/>
      <c r="S42" s="10" t="str">
        <f t="shared" ref="S42:S70" si="46">IF(L42="閉","休",IF(O42="","",IF(O42="冬　特別展",IF(OR(N42="土",N42="日",I42=1),"○",""),"○")))</f>
        <v>○</v>
      </c>
      <c r="T42" s="45"/>
      <c r="U42" s="33" t="str">
        <f t="shared" ref="U42:U70" si="47">IF(L42="閉","休",IF(S42="","●","●"))</f>
        <v>●</v>
      </c>
      <c r="V42" s="32"/>
      <c r="W42" s="33" t="str">
        <f>IF(L42="閉","休",IF(O42="","",IF(OR(N42="土",N42="日",I42=1),IF(OR(O42="ダミー　特別展",O42="ダミー　特別展"),"◎",IF(OR(O42="夏　特別展",O42="秋　特別展",O42="春　特別展"),"◎","")),"")))</f>
        <v>◎</v>
      </c>
      <c r="X42" s="26"/>
      <c r="Y42" s="33" t="str">
        <f t="shared" si="36"/>
        <v>○</v>
      </c>
      <c r="Z42" s="8">
        <f>IF(L42="閉","",(IF(AND(M42&gt;=VLOOKUP(M42,データ!$E$3:$G$9,1,TRUE),M42&lt;=VLOOKUP(M42,データ!$E$3:$G$9,2,TRUE)),VLOOKUP(M42,データ!$E$3:$H$9,4,TRUE),0)+IF(AND(M42&gt;=VLOOKUP(M42,データ!$E$14:$G$21,1,TRUE),M42&lt;=VLOOKUP(M42,データ!$E$14:$G$21,2,TRUE)),VLOOKUP(M42,データ!$E$14:$H$21,4,TRUE),0)))</f>
        <v>5</v>
      </c>
      <c r="AA42" s="33" t="str">
        <f t="shared" si="37"/>
        <v>○</v>
      </c>
      <c r="AB42" s="227">
        <f t="shared" si="38"/>
        <v>0.41666666666666669</v>
      </c>
      <c r="AC42" s="227">
        <f t="shared" si="39"/>
        <v>0.70833333333333337</v>
      </c>
      <c r="AD42" s="228" t="str">
        <f>IF(K42=1,IF(ISERROR(VLOOKUP(M42,データ!$A$3:$C$23,2,FALSE)),"",VLOOKUP(M42,データ!$A$3:$C$23,2,FALSE)),(IF(ISERROR(VLOOKUP(M42,データ!$A$3:$C$23,2,FALSE)),"",VLOOKUP(M42,データ!$A$3:$C$23,2,FALSE))))</f>
        <v>憲法記念日</v>
      </c>
    </row>
    <row r="43" spans="1:30" customFormat="1" ht="13.5">
      <c r="A43" s="1">
        <f>IF(AND(M43&gt;=VLOOKUP(M43,データ!$K$3:$O$6,1,TRUE),M43&lt;=VLOOKUP(M43,データ!$K$3:$O$6,2,TRUE)),VLOOKUP(M43,データ!$K$3:$O$6,5,TRUE),"")</f>
        <v>1</v>
      </c>
      <c r="B43" s="74">
        <f>IF(AND(M43&gt;=VLOOKUP(M43,データ!$K$3:$O$6,1,TRUE),M43&lt;=VLOOKUP(M43,データ!$K$3:$O$6,2,TRUE)),VLOOKUP(M43,データ!$K$3:$O$6,3,TRUE),"")</f>
        <v>0.41666666666666669</v>
      </c>
      <c r="C43" s="1">
        <f>IF(AND(M43&gt;=VLOOKUP(M43,データ!$K$11:$O$16,1,TRUE),M43&lt;=VLOOKUP(M43,データ!$K$11:$O$16,2,TRUE)),VLOOKUP(M43,データ!$K$11:$O$16,5,TRUE),0)</f>
        <v>0</v>
      </c>
      <c r="D43" s="74" t="str">
        <f>IF(AND(M43&gt;=VLOOKUP(M43,データ!$K$11:$O$16,1,TRUE),M43&lt;=VLOOKUP(M43,データ!$K$11:$O$16,2,TRUE)),VLOOKUP(M43,データ!$K$11:$O$16,3,TRUE),"")</f>
        <v/>
      </c>
      <c r="E43" s="74">
        <f>IF(C43=2,IF(OR(N43="土",N43="日"),D43,B43),IF(C43=1,D43,B43))</f>
        <v>0.41666666666666669</v>
      </c>
      <c r="F43" s="75">
        <f>VLOOKUP(E43,データ!$K$20:$O$24,5,FALSE)</f>
        <v>0</v>
      </c>
      <c r="G43" s="74">
        <f>IF(AND(M43&gt;=VLOOKUP(M43,データ!$K$3:$O$6,1,TRUE),M43&lt;=VLOOKUP(M43,データ!$K$3:$O$6,2,TRUE)),VLOOKUP(M43,データ!$K$3:$O$6,4,TRUE),"")</f>
        <v>0.70833333333333337</v>
      </c>
      <c r="H43" s="256">
        <f>INDEX(データ!L$21:N$24,MATCH(配置表!E43,データ!K$21:K$24,0),MATCH(配置表!G43,データ!L$20:N$20,0))</f>
        <v>1</v>
      </c>
      <c r="I43" s="52">
        <f>IF(ISERROR(VLOOKUP(M43,データ!$A$3:$C$20,3,FALSE)),"",VLOOKUP(M43,データ!$A$3:$C$20,3,FALSE))</f>
        <v>1</v>
      </c>
      <c r="J43" s="52" t="str">
        <f>IF(N43="月",1,"")</f>
        <v/>
      </c>
      <c r="K43" s="53">
        <f t="shared" si="44"/>
        <v>0</v>
      </c>
      <c r="L43" s="28" t="str">
        <f t="shared" si="34"/>
        <v/>
      </c>
      <c r="M43" s="9">
        <f t="shared" si="45"/>
        <v>45781</v>
      </c>
      <c r="N43" s="10" t="str">
        <f t="shared" si="35"/>
        <v>日</v>
      </c>
      <c r="O43" s="62" t="str">
        <f>IF(AND(M43&gt;=VLOOKUP(M43,データ!$E$3:$G$9,1,TRUE),M43&lt;=VLOOKUP(M43,データ!$E$3:$G$9,2,TRUE)),VLOOKUP(M43,データ!$E$3:$G$9,3,TRUE),"")</f>
        <v>春　特別展</v>
      </c>
      <c r="P43" s="67" t="str">
        <f>IF(AND(M43&gt;=VLOOKUP(M43,データ!$E$14:$G$21,1,TRUE),M43&lt;=VLOOKUP(M43,データ!$E$14:$G$21,2,TRUE)),VLOOKUP(M43,データ!$E$14:$G$21,3,TRUE),"")</f>
        <v>テーマ展</v>
      </c>
      <c r="Q43" s="44" t="str">
        <f t="shared" si="40"/>
        <v>○</v>
      </c>
      <c r="R43" s="45"/>
      <c r="S43" s="10" t="str">
        <f t="shared" si="46"/>
        <v>○</v>
      </c>
      <c r="T43" s="45"/>
      <c r="U43" s="33" t="str">
        <f t="shared" si="47"/>
        <v>●</v>
      </c>
      <c r="V43" s="32"/>
      <c r="W43" s="33" t="str">
        <f>IF(L43="閉","休",IF(O43="","",IF(OR(N43="土",N43="日",I43=1),IF(OR(O43="ダミー　特別展",O43="ダミー　特別展"),"◎",IF(OR(O43="夏　特別展",O43="秋　特別展",O43="春　特別展"),"◎","")),"")))</f>
        <v>◎</v>
      </c>
      <c r="X43" s="26"/>
      <c r="Y43" s="33" t="str">
        <f t="shared" si="36"/>
        <v>○</v>
      </c>
      <c r="Z43" s="8">
        <f>IF(L43="閉","",(IF(AND(M43&gt;=VLOOKUP(M43,データ!$E$3:$G$9,1,TRUE),M43&lt;=VLOOKUP(M43,データ!$E$3:$G$9,2,TRUE)),VLOOKUP(M43,データ!$E$3:$H$9,4,TRUE),0)+IF(AND(M43&gt;=VLOOKUP(M43,データ!$E$14:$G$21,1,TRUE),M43&lt;=VLOOKUP(M43,データ!$E$14:$G$21,2,TRUE)),VLOOKUP(M43,データ!$E$14:$H$21,4,TRUE),0)))</f>
        <v>5</v>
      </c>
      <c r="AA43" s="33" t="str">
        <f t="shared" si="37"/>
        <v>○</v>
      </c>
      <c r="AB43" s="227">
        <f t="shared" si="38"/>
        <v>0.41666666666666669</v>
      </c>
      <c r="AC43" s="227">
        <f t="shared" si="39"/>
        <v>0.70833333333333337</v>
      </c>
      <c r="AD43" s="228" t="str">
        <f>IF(K43=1,IF(ISERROR(VLOOKUP(M43,データ!$A$3:$C$23,2,FALSE)),"",VLOOKUP(M43,データ!$A$3:$C$23,2,FALSE)),(IF(ISERROR(VLOOKUP(M43,データ!$A$3:$C$23,2,FALSE)),"",VLOOKUP(M43,データ!$A$3:$C$23,2,FALSE))))</f>
        <v>みどりの日</v>
      </c>
    </row>
    <row r="44" spans="1:30" customFormat="1" ht="13.5">
      <c r="A44" s="1">
        <f>IF(AND(M44&gt;=VLOOKUP(M44,データ!$K$3:$O$6,1,TRUE),M44&lt;=VLOOKUP(M44,データ!$K$3:$O$6,2,TRUE)),VLOOKUP(M44,データ!$K$3:$O$6,5,TRUE),"")</f>
        <v>1</v>
      </c>
      <c r="B44" s="74">
        <f>IF(AND(M44&gt;=VLOOKUP(M44,データ!$K$3:$O$6,1,TRUE),M44&lt;=VLOOKUP(M44,データ!$K$3:$O$6,2,TRUE)),VLOOKUP(M44,データ!$K$3:$O$6,3,TRUE),"")</f>
        <v>0.41666666666666669</v>
      </c>
      <c r="C44" s="1">
        <f>IF(AND(M44&gt;=VLOOKUP(M44,データ!$K$11:$O$16,1,TRUE),M44&lt;=VLOOKUP(M44,データ!$K$11:$O$16,2,TRUE)),VLOOKUP(M44,データ!$K$11:$O$16,5,TRUE),0)</f>
        <v>0</v>
      </c>
      <c r="D44" s="74" t="str">
        <f>IF(AND(M44&gt;=VLOOKUP(M44,データ!$K$11:$O$16,1,TRUE),M44&lt;=VLOOKUP(M44,データ!$K$11:$O$16,2,TRUE)),VLOOKUP(M44,データ!$K$11:$O$16,3,TRUE),"")</f>
        <v/>
      </c>
      <c r="E44" s="74">
        <f t="shared" ref="E44:E70" si="48">IF(C44=2,IF(OR(N44="土",N44="日"),D44,B44),IF(C44=1,D44,B44))</f>
        <v>0.41666666666666669</v>
      </c>
      <c r="F44" s="75">
        <f>VLOOKUP(E44,データ!$K$20:$O$24,5,FALSE)</f>
        <v>0</v>
      </c>
      <c r="G44" s="74">
        <f>IF(AND(M44&gt;=VLOOKUP(M44,データ!$K$3:$O$6,1,TRUE),M44&lt;=VLOOKUP(M44,データ!$K$3:$O$6,2,TRUE)),VLOOKUP(M44,データ!$K$3:$O$6,4,TRUE),"")</f>
        <v>0.70833333333333337</v>
      </c>
      <c r="H44" s="256">
        <f>INDEX(データ!L$21:N$24,MATCH(配置表!E44,データ!K$21:K$24,0),MATCH(配置表!G44,データ!L$20:N$20,0))</f>
        <v>1</v>
      </c>
      <c r="I44" s="52">
        <f>IF(ISERROR(VLOOKUP(M44,データ!$A$3:$C$20,3,FALSE)),"",VLOOKUP(M44,データ!$A$3:$C$20,3,FALSE))</f>
        <v>1</v>
      </c>
      <c r="J44" s="52">
        <f t="shared" ref="J44:J70" si="49">IF(N44="月",1,"")</f>
        <v>1</v>
      </c>
      <c r="K44" s="53">
        <f t="shared" si="44"/>
        <v>2</v>
      </c>
      <c r="L44" s="28" t="str">
        <f t="shared" si="34"/>
        <v/>
      </c>
      <c r="M44" s="9">
        <f t="shared" si="45"/>
        <v>45782</v>
      </c>
      <c r="N44" s="10" t="str">
        <f t="shared" si="35"/>
        <v>月</v>
      </c>
      <c r="O44" s="62" t="str">
        <f>IF(AND(M44&gt;=VLOOKUP(M44,データ!$E$3:$G$9,1,TRUE),M44&lt;=VLOOKUP(M44,データ!$E$3:$G$9,2,TRUE)),VLOOKUP(M44,データ!$E$3:$G$9,3,TRUE),"")</f>
        <v>春　特別展</v>
      </c>
      <c r="P44" s="67" t="str">
        <f>IF(AND(M44&gt;=VLOOKUP(M44,データ!$E$14:$G$21,1,TRUE),M44&lt;=VLOOKUP(M44,データ!$E$14:$G$21,2,TRUE)),VLOOKUP(M44,データ!$E$14:$G$21,3,TRUE),"")</f>
        <v>テーマ展</v>
      </c>
      <c r="Q44" s="44" t="str">
        <f t="shared" si="40"/>
        <v>○</v>
      </c>
      <c r="R44" s="45"/>
      <c r="S44" s="10" t="str">
        <f t="shared" ref="S44:S45" si="50">IF(L44="閉","休",IF(O44="","",IF(O44="冬　特別展",IF(OR(N44="土",N44="日",I44=1),"○",""),"○")))</f>
        <v>○</v>
      </c>
      <c r="T44" s="45"/>
      <c r="U44" s="33" t="str">
        <f t="shared" ref="U44:U45" si="51">IF(L44="閉","休",IF(S44="","●","●"))</f>
        <v>●</v>
      </c>
      <c r="V44" s="32"/>
      <c r="W44" s="33" t="str">
        <f t="shared" ref="W44:W45" si="52">IF(L44="閉","休",IF(O44="","",IF(OR(N44="土",N44="日",I44=1),IF(OR(O44="ダミー　特別展",O44="ダミー　特別展"),"◎",IF(OR(O44="夏　特別展",O44="秋　特別展",O44="春　特別展"),"◎","")),"")))</f>
        <v>◎</v>
      </c>
      <c r="X44" s="26"/>
      <c r="Y44" s="33" t="str">
        <f t="shared" si="36"/>
        <v>○</v>
      </c>
      <c r="Z44" s="8">
        <f>IF(L44="閉","",(IF(AND(M44&gt;=VLOOKUP(M44,データ!$E$3:$G$9,1,TRUE),M44&lt;=VLOOKUP(M44,データ!$E$3:$G$9,2,TRUE)),VLOOKUP(M44,データ!$E$3:$H$9,4,TRUE),0)+IF(AND(M44&gt;=VLOOKUP(M44,データ!$E$14:$G$21,1,TRUE),M44&lt;=VLOOKUP(M44,データ!$E$14:$G$21,2,TRUE)),VLOOKUP(M44,データ!$E$14:$H$21,4,TRUE),0)))</f>
        <v>5</v>
      </c>
      <c r="AA44" s="33" t="str">
        <f t="shared" si="37"/>
        <v>○</v>
      </c>
      <c r="AB44" s="227">
        <f t="shared" si="38"/>
        <v>0.41666666666666669</v>
      </c>
      <c r="AC44" s="227">
        <f t="shared" si="39"/>
        <v>0.70833333333333337</v>
      </c>
      <c r="AD44" s="228" t="str">
        <f>IF(K44=1,IF(ISERROR(VLOOKUP(M44,データ!$A$3:$C$23,2,FALSE)),"",VLOOKUP(M44,データ!$A$3:$C$23,2,FALSE)),(IF(ISERROR(VLOOKUP(M44,データ!$A$3:$C$23,2,FALSE)),"",VLOOKUP(M44,データ!$A$3:$C$23,2,FALSE))))</f>
        <v>こどもの日</v>
      </c>
    </row>
    <row r="45" spans="1:30" customFormat="1" ht="13.5">
      <c r="A45" s="1">
        <f>IF(AND(M45&gt;=VLOOKUP(M45,データ!$K$3:$O$6,1,TRUE),M45&lt;=VLOOKUP(M45,データ!$K$3:$O$6,2,TRUE)),VLOOKUP(M45,データ!$K$3:$O$6,5,TRUE),"")</f>
        <v>1</v>
      </c>
      <c r="B45" s="74">
        <f>IF(AND(M45&gt;=VLOOKUP(M45,データ!$K$3:$O$6,1,TRUE),M45&lt;=VLOOKUP(M45,データ!$K$3:$O$6,2,TRUE)),VLOOKUP(M45,データ!$K$3:$O$6,3,TRUE),"")</f>
        <v>0.41666666666666669</v>
      </c>
      <c r="C45" s="1">
        <f>IF(AND(M45&gt;=VLOOKUP(M45,データ!$K$11:$O$16,1,TRUE),M45&lt;=VLOOKUP(M45,データ!$K$11:$O$16,2,TRUE)),VLOOKUP(M45,データ!$K$11:$O$16,5,TRUE),0)</f>
        <v>0</v>
      </c>
      <c r="D45" s="74" t="str">
        <f>IF(AND(M45&gt;=VLOOKUP(M45,データ!$K$11:$O$16,1,TRUE),M45&lt;=VLOOKUP(M45,データ!$K$11:$O$16,2,TRUE)),VLOOKUP(M45,データ!$K$11:$O$16,3,TRUE),"")</f>
        <v/>
      </c>
      <c r="E45" s="74">
        <f t="shared" si="48"/>
        <v>0.41666666666666669</v>
      </c>
      <c r="F45" s="75">
        <f>VLOOKUP(E45,データ!$K$20:$O$24,5,FALSE)</f>
        <v>0</v>
      </c>
      <c r="G45" s="74">
        <f>IF(AND(M45&gt;=VLOOKUP(M45,データ!$K$3:$O$6,1,TRUE),M45&lt;=VLOOKUP(M45,データ!$K$3:$O$6,2,TRUE)),VLOOKUP(M45,データ!$K$3:$O$6,4,TRUE),"")</f>
        <v>0.70833333333333337</v>
      </c>
      <c r="H45" s="256">
        <f>INDEX(データ!L$21:N$24,MATCH(配置表!E45,データ!K$21:K$24,0),MATCH(配置表!G45,データ!L$20:N$20,0))</f>
        <v>1</v>
      </c>
      <c r="I45" s="52">
        <f>IF(ISERROR(VLOOKUP(M45,データ!$A$3:$C$20,3,FALSE)),"",VLOOKUP(M45,データ!$A$3:$C$20,3,FALSE))</f>
        <v>1</v>
      </c>
      <c r="J45" s="52" t="str">
        <f t="shared" si="49"/>
        <v/>
      </c>
      <c r="K45" s="53">
        <f t="shared" si="44"/>
        <v>2</v>
      </c>
      <c r="L45" s="28" t="str">
        <f t="shared" si="34"/>
        <v/>
      </c>
      <c r="M45" s="9">
        <f t="shared" si="45"/>
        <v>45783</v>
      </c>
      <c r="N45" s="10" t="str">
        <f t="shared" si="35"/>
        <v>火</v>
      </c>
      <c r="O45" s="62" t="str">
        <f>IF(AND(M45&gt;=VLOOKUP(M45,データ!$E$3:$G$9,1,TRUE),M45&lt;=VLOOKUP(M45,データ!$E$3:$G$9,2,TRUE)),VLOOKUP(M45,データ!$E$3:$G$9,3,TRUE),"")</f>
        <v>春　特別展</v>
      </c>
      <c r="P45" s="67" t="str">
        <f>IF(AND(M45&gt;=VLOOKUP(M45,データ!$E$14:$G$21,1,TRUE),M45&lt;=VLOOKUP(M45,データ!$E$14:$G$21,2,TRUE)),VLOOKUP(M45,データ!$E$14:$G$21,3,TRUE),"")</f>
        <v>テーマ展</v>
      </c>
      <c r="Q45" s="44" t="str">
        <f t="shared" si="40"/>
        <v>○</v>
      </c>
      <c r="R45" s="45"/>
      <c r="S45" s="10" t="str">
        <f t="shared" si="50"/>
        <v>○</v>
      </c>
      <c r="T45" s="45"/>
      <c r="U45" s="33" t="str">
        <f t="shared" si="51"/>
        <v>●</v>
      </c>
      <c r="V45" s="32"/>
      <c r="W45" s="33" t="str">
        <f t="shared" si="52"/>
        <v>◎</v>
      </c>
      <c r="X45" s="26"/>
      <c r="Y45" s="33" t="str">
        <f t="shared" si="36"/>
        <v>○</v>
      </c>
      <c r="Z45" s="8">
        <f>IF(L45="閉","",(IF(AND(M45&gt;=VLOOKUP(M45,データ!$E$3:$G$9,1,TRUE),M45&lt;=VLOOKUP(M45,データ!$E$3:$G$9,2,TRUE)),VLOOKUP(M45,データ!$E$3:$H$9,4,TRUE),0)+IF(AND(M45&gt;=VLOOKUP(M45,データ!$E$14:$G$21,1,TRUE),M45&lt;=VLOOKUP(M45,データ!$E$14:$G$21,2,TRUE)),VLOOKUP(M45,データ!$E$14:$H$21,4,TRUE),0)))</f>
        <v>5</v>
      </c>
      <c r="AA45" s="33" t="str">
        <f t="shared" si="37"/>
        <v>○</v>
      </c>
      <c r="AB45" s="227">
        <f t="shared" si="38"/>
        <v>0.41666666666666669</v>
      </c>
      <c r="AC45" s="227">
        <f t="shared" si="39"/>
        <v>0.70833333333333337</v>
      </c>
      <c r="AD45" s="228" t="str">
        <f>IF(K45=1,IF(ISERROR(VLOOKUP(M45,データ!$A$3:$C$23,2,FALSE)),"",VLOOKUP(M45,データ!$A$3:$C$23,2,FALSE)),(IF(ISERROR(VLOOKUP(M45,データ!$A$3:$C$23,2,FALSE)),"",VLOOKUP(M45,データ!$A$3:$C$23,2,FALSE))))</f>
        <v>振替休日</v>
      </c>
    </row>
    <row r="46" spans="1:30" customFormat="1" ht="13.5">
      <c r="A46" s="1">
        <f>IF(AND(M46&gt;=VLOOKUP(M46,データ!$K$3:$O$6,1,TRUE),M46&lt;=VLOOKUP(M46,データ!$K$3:$O$6,2,TRUE)),VLOOKUP(M46,データ!$K$3:$O$6,5,TRUE),"")</f>
        <v>1</v>
      </c>
      <c r="B46" s="74">
        <f>IF(AND(M46&gt;=VLOOKUP(M46,データ!$K$3:$O$6,1,TRUE),M46&lt;=VLOOKUP(M46,データ!$K$3:$O$6,2,TRUE)),VLOOKUP(M46,データ!$K$3:$O$6,3,TRUE),"")</f>
        <v>0.41666666666666669</v>
      </c>
      <c r="C46" s="1">
        <f>IF(AND(M46&gt;=VLOOKUP(M46,データ!$K$11:$O$16,1,TRUE),M46&lt;=VLOOKUP(M46,データ!$K$11:$O$16,2,TRUE)),VLOOKUP(M46,データ!$K$11:$O$16,5,TRUE),0)</f>
        <v>0</v>
      </c>
      <c r="D46" s="74" t="str">
        <f>IF(AND(M46&gt;=VLOOKUP(M46,データ!$K$11:$O$16,1,TRUE),M46&lt;=VLOOKUP(M46,データ!$K$11:$O$16,2,TRUE)),VLOOKUP(M46,データ!$K$11:$O$16,3,TRUE),"")</f>
        <v/>
      </c>
      <c r="E46" s="74">
        <f t="shared" si="48"/>
        <v>0.41666666666666669</v>
      </c>
      <c r="F46" s="75">
        <f>VLOOKUP(E46,データ!$K$20:$O$24,5,FALSE)</f>
        <v>0</v>
      </c>
      <c r="G46" s="74">
        <f>IF(AND(M46&gt;=VLOOKUP(M46,データ!$K$3:$O$6,1,TRUE),M46&lt;=VLOOKUP(M46,データ!$K$3:$O$6,2,TRUE)),VLOOKUP(M46,データ!$K$3:$O$6,4,TRUE),"")</f>
        <v>0.70833333333333337</v>
      </c>
      <c r="H46" s="256">
        <f>INDEX(データ!L$21:N$24,MATCH(配置表!E46,データ!K$21:K$24,0),MATCH(配置表!G46,データ!L$20:N$20,0))</f>
        <v>1</v>
      </c>
      <c r="I46" s="52" t="str">
        <f>IF(ISERROR(VLOOKUP(M46,データ!$A$3:$C$20,3,FALSE)),"",VLOOKUP(M46,データ!$A$3:$C$20,3,FALSE))</f>
        <v/>
      </c>
      <c r="J46" s="52" t="str">
        <f t="shared" si="49"/>
        <v/>
      </c>
      <c r="K46" s="53">
        <f t="shared" si="44"/>
        <v>1</v>
      </c>
      <c r="L46" s="28" t="str">
        <f t="shared" si="34"/>
        <v>閉</v>
      </c>
      <c r="M46" s="9">
        <f t="shared" si="45"/>
        <v>45784</v>
      </c>
      <c r="N46" s="10" t="str">
        <f t="shared" si="35"/>
        <v>水</v>
      </c>
      <c r="O46" s="62" t="str">
        <f>IF(AND(M46&gt;=VLOOKUP(M46,データ!$E$3:$G$9,1,TRUE),M46&lt;=VLOOKUP(M46,データ!$E$3:$G$9,2,TRUE)),VLOOKUP(M46,データ!$E$3:$G$9,3,TRUE),"")</f>
        <v>春　特別展</v>
      </c>
      <c r="P46" s="67" t="str">
        <f>IF(AND(M46&gt;=VLOOKUP(M46,データ!$E$14:$G$21,1,TRUE),M46&lt;=VLOOKUP(M46,データ!$E$14:$G$21,2,TRUE)),VLOOKUP(M46,データ!$E$14:$G$21,3,TRUE),"")</f>
        <v>テーマ展</v>
      </c>
      <c r="Q46" s="44" t="str">
        <f t="shared" si="40"/>
        <v>休</v>
      </c>
      <c r="R46" s="26"/>
      <c r="S46" s="33" t="str">
        <f t="shared" si="46"/>
        <v>休</v>
      </c>
      <c r="T46" s="26"/>
      <c r="U46" s="33" t="str">
        <f t="shared" si="47"/>
        <v>休</v>
      </c>
      <c r="V46" s="26"/>
      <c r="W46" s="33" t="str">
        <f t="shared" ref="W46:W70" si="53">IF(L46="閉","休",IF(O46="","",IF(OR(N46="土",N46="日",I46=1),IF(OR(O46="ダミー　特別展",O46="ダミー　特別展"),"◎",IF(OR(O46="夏　特別展",O46="秋　特別展",O46="春　特別展"),"○","")),"")))</f>
        <v>休</v>
      </c>
      <c r="X46" s="26"/>
      <c r="Y46" s="33" t="str">
        <f t="shared" si="36"/>
        <v>休</v>
      </c>
      <c r="Z46" s="8" t="str">
        <f>IF(L46="閉","",(IF(AND(M46&gt;=VLOOKUP(M46,データ!$E$3:$G$9,1,TRUE),M46&lt;=VLOOKUP(M46,データ!$E$3:$G$9,2,TRUE)),VLOOKUP(M46,データ!$E$3:$H$9,4,TRUE),0)+IF(AND(M46&gt;=VLOOKUP(M46,データ!$E$14:$G$21,1,TRUE),M46&lt;=VLOOKUP(M46,データ!$E$14:$G$21,2,TRUE)),VLOOKUP(M46,データ!$E$14:$H$21,4,TRUE),0)))</f>
        <v/>
      </c>
      <c r="AA46" s="33" t="str">
        <f t="shared" si="37"/>
        <v>休</v>
      </c>
      <c r="AB46" s="227" t="str">
        <f t="shared" si="38"/>
        <v/>
      </c>
      <c r="AC46" s="227" t="str">
        <f t="shared" si="39"/>
        <v/>
      </c>
      <c r="AD46" s="228" t="str">
        <f>IF(K46=1,IF(ISERROR(VLOOKUP(M46,データ!$A$3:$C$23,2,FALSE)),"",VLOOKUP(M46,データ!$A$3:$C$23,2,FALSE)),(IF(ISERROR(VLOOKUP(M46,データ!$A$3:$C$23,2,FALSE)),"",VLOOKUP(M46,データ!$A$3:$C$23,2,FALSE))))</f>
        <v/>
      </c>
    </row>
    <row r="47" spans="1:30" customFormat="1" ht="13.5">
      <c r="A47" s="1">
        <f>IF(AND(M47&gt;=VLOOKUP(M47,データ!$K$3:$O$6,1,TRUE),M47&lt;=VLOOKUP(M47,データ!$K$3:$O$6,2,TRUE)),VLOOKUP(M47,データ!$K$3:$O$6,5,TRUE),"")</f>
        <v>1</v>
      </c>
      <c r="B47" s="74">
        <f>IF(AND(M47&gt;=VLOOKUP(M47,データ!$K$3:$O$6,1,TRUE),M47&lt;=VLOOKUP(M47,データ!$K$3:$O$6,2,TRUE)),VLOOKUP(M47,データ!$K$3:$O$6,3,TRUE),"")</f>
        <v>0.41666666666666669</v>
      </c>
      <c r="C47" s="1">
        <f>IF(AND(M47&gt;=VLOOKUP(M47,データ!$K$11:$O$16,1,TRUE),M47&lt;=VLOOKUP(M47,データ!$K$11:$O$16,2,TRUE)),VLOOKUP(M47,データ!$K$11:$O$16,5,TRUE),0)</f>
        <v>0</v>
      </c>
      <c r="D47" s="74" t="str">
        <f>IF(AND(M47&gt;=VLOOKUP(M47,データ!$K$11:$O$16,1,TRUE),M47&lt;=VLOOKUP(M47,データ!$K$11:$O$16,2,TRUE)),VLOOKUP(M47,データ!$K$11:$O$16,3,TRUE),"")</f>
        <v/>
      </c>
      <c r="E47" s="74">
        <f t="shared" si="48"/>
        <v>0.41666666666666669</v>
      </c>
      <c r="F47" s="75">
        <f>VLOOKUP(E47,データ!$K$20:$O$24,5,FALSE)</f>
        <v>0</v>
      </c>
      <c r="G47" s="74">
        <f>IF(AND(M47&gt;=VLOOKUP(M47,データ!$K$3:$O$6,1,TRUE),M47&lt;=VLOOKUP(M47,データ!$K$3:$O$6,2,TRUE)),VLOOKUP(M47,データ!$K$3:$O$6,4,TRUE),"")</f>
        <v>0.70833333333333337</v>
      </c>
      <c r="H47" s="256">
        <f>INDEX(データ!L$21:N$24,MATCH(配置表!E47,データ!K$21:K$24,0),MATCH(配置表!G47,データ!L$20:N$20,0))</f>
        <v>1</v>
      </c>
      <c r="I47" s="52" t="str">
        <f>IF(ISERROR(VLOOKUP(M47,データ!$A$3:$C$20,3,FALSE)),"",VLOOKUP(M47,データ!$A$3:$C$20,3,FALSE))</f>
        <v/>
      </c>
      <c r="J47" s="52" t="str">
        <f t="shared" si="49"/>
        <v/>
      </c>
      <c r="K47" s="53">
        <f t="shared" si="44"/>
        <v>0</v>
      </c>
      <c r="L47" s="28" t="str">
        <f t="shared" si="34"/>
        <v/>
      </c>
      <c r="M47" s="9">
        <f t="shared" si="45"/>
        <v>45785</v>
      </c>
      <c r="N47" s="10" t="str">
        <f t="shared" si="35"/>
        <v>木</v>
      </c>
      <c r="O47" s="62" t="str">
        <f>IF(AND(M47&gt;=VLOOKUP(M47,データ!$E$3:$G$9,1,TRUE),M47&lt;=VLOOKUP(M47,データ!$E$3:$G$9,2,TRUE)),VLOOKUP(M47,データ!$E$3:$G$9,3,TRUE),"")</f>
        <v>春　特別展</v>
      </c>
      <c r="P47" s="67" t="str">
        <f>IF(AND(M47&gt;=VLOOKUP(M47,データ!$E$14:$G$21,1,TRUE),M47&lt;=VLOOKUP(M47,データ!$E$14:$G$21,2,TRUE)),VLOOKUP(M47,データ!$E$14:$G$21,3,TRUE),"")</f>
        <v>テーマ展</v>
      </c>
      <c r="Q47" s="44" t="str">
        <f t="shared" si="40"/>
        <v>○</v>
      </c>
      <c r="R47" s="45"/>
      <c r="S47" s="33" t="str">
        <f t="shared" ref="S47:S48" si="54">IF(H47="閉","休",IF(K47="","",IF(OR(J47="土",J47="日",E47=1),IF(OR(K47="ダミー　特別展",K47="ダミー　特別展"),"◎",IF(OR(K47="夏　特別展",K47="秋　特別展",K47="春　特別展"),"○","")),"")))</f>
        <v/>
      </c>
      <c r="T47" s="45"/>
      <c r="U47" s="33" t="str">
        <f t="shared" si="47"/>
        <v>●</v>
      </c>
      <c r="V47" s="32"/>
      <c r="W47" s="33" t="str">
        <f t="shared" ref="W47:W48" si="55">IF(P47="閉","休",IF(O47="","",IF(O47="冬　特別展",IF(OR(N47="土",N47="日",M47=1),"○",""),"○")))</f>
        <v>○</v>
      </c>
      <c r="X47" s="26"/>
      <c r="Y47" s="33" t="str">
        <f t="shared" si="36"/>
        <v>○</v>
      </c>
      <c r="Z47" s="8">
        <f>IF(L47="閉","",(IF(AND(M47&gt;=VLOOKUP(M47,データ!$E$3:$G$9,1,TRUE),M47&lt;=VLOOKUP(M47,データ!$E$3:$G$9,2,TRUE)),VLOOKUP(M47,データ!$E$3:$H$9,4,TRUE),0)+IF(AND(M47&gt;=VLOOKUP(M47,データ!$E$14:$G$21,1,TRUE),M47&lt;=VLOOKUP(M47,データ!$E$14:$G$21,2,TRUE)),VLOOKUP(M47,データ!$E$14:$H$21,4,TRUE),0)))</f>
        <v>5</v>
      </c>
      <c r="AA47" s="33" t="str">
        <f t="shared" si="37"/>
        <v>○</v>
      </c>
      <c r="AB47" s="227">
        <f t="shared" si="38"/>
        <v>0.41666666666666669</v>
      </c>
      <c r="AC47" s="227">
        <f t="shared" si="39"/>
        <v>0.70833333333333337</v>
      </c>
      <c r="AD47" s="228" t="str">
        <f>IF(K47=1,IF(ISERROR(VLOOKUP(M47,データ!$A$3:$C$23,2,FALSE)),"",VLOOKUP(M47,データ!$A$3:$C$23,2,FALSE)),(IF(ISERROR(VLOOKUP(M47,データ!$A$3:$C$23,2,FALSE)),"",VLOOKUP(M47,データ!$A$3:$C$23,2,FALSE))))</f>
        <v/>
      </c>
    </row>
    <row r="48" spans="1:30" customFormat="1" ht="13.5">
      <c r="A48" s="1">
        <f>IF(AND(M48&gt;=VLOOKUP(M48,データ!$K$3:$O$6,1,TRUE),M48&lt;=VLOOKUP(M48,データ!$K$3:$O$6,2,TRUE)),VLOOKUP(M48,データ!$K$3:$O$6,5,TRUE),"")</f>
        <v>1</v>
      </c>
      <c r="B48" s="74">
        <f>IF(AND(M48&gt;=VLOOKUP(M48,データ!$K$3:$O$6,1,TRUE),M48&lt;=VLOOKUP(M48,データ!$K$3:$O$6,2,TRUE)),VLOOKUP(M48,データ!$K$3:$O$6,3,TRUE),"")</f>
        <v>0.41666666666666669</v>
      </c>
      <c r="C48" s="1">
        <f>IF(AND(M48&gt;=VLOOKUP(M48,データ!$K$11:$O$16,1,TRUE),M48&lt;=VLOOKUP(M48,データ!$K$11:$O$16,2,TRUE)),VLOOKUP(M48,データ!$K$11:$O$16,5,TRUE),0)</f>
        <v>0</v>
      </c>
      <c r="D48" s="74" t="str">
        <f>IF(AND(M48&gt;=VLOOKUP(M48,データ!$K$11:$O$16,1,TRUE),M48&lt;=VLOOKUP(M48,データ!$K$11:$O$16,2,TRUE)),VLOOKUP(M48,データ!$K$11:$O$16,3,TRUE),"")</f>
        <v/>
      </c>
      <c r="E48" s="74">
        <f t="shared" si="48"/>
        <v>0.41666666666666669</v>
      </c>
      <c r="F48" s="75">
        <f>VLOOKUP(E48,データ!$K$20:$O$24,5,FALSE)</f>
        <v>0</v>
      </c>
      <c r="G48" s="74">
        <f>IF(AND(M48&gt;=VLOOKUP(M48,データ!$K$3:$O$6,1,TRUE),M48&lt;=VLOOKUP(M48,データ!$K$3:$O$6,2,TRUE)),VLOOKUP(M48,データ!$K$3:$O$6,4,TRUE),"")</f>
        <v>0.70833333333333337</v>
      </c>
      <c r="H48" s="256">
        <f>INDEX(データ!L$21:N$24,MATCH(配置表!E48,データ!K$21:K$24,0),MATCH(配置表!G48,データ!L$20:N$20,0))</f>
        <v>1</v>
      </c>
      <c r="I48" s="52" t="str">
        <f>IF(ISERROR(VLOOKUP(M48,データ!$A$3:$C$20,3,FALSE)),"",VLOOKUP(M48,データ!$A$3:$C$20,3,FALSE))</f>
        <v/>
      </c>
      <c r="J48" s="52" t="str">
        <f t="shared" si="49"/>
        <v/>
      </c>
      <c r="K48" s="53">
        <f t="shared" si="44"/>
        <v>0</v>
      </c>
      <c r="L48" s="28" t="str">
        <f t="shared" si="34"/>
        <v/>
      </c>
      <c r="M48" s="9">
        <f t="shared" si="45"/>
        <v>45786</v>
      </c>
      <c r="N48" s="10" t="str">
        <f t="shared" si="35"/>
        <v>金</v>
      </c>
      <c r="O48" s="62" t="str">
        <f>IF(AND(M48&gt;=VLOOKUP(M48,データ!$E$3:$G$9,1,TRUE),M48&lt;=VLOOKUP(M48,データ!$E$3:$G$9,2,TRUE)),VLOOKUP(M48,データ!$E$3:$G$9,3,TRUE),"")</f>
        <v>春　特別展</v>
      </c>
      <c r="P48" s="67" t="str">
        <f>IF(AND(M48&gt;=VLOOKUP(M48,データ!$E$14:$G$21,1,TRUE),M48&lt;=VLOOKUP(M48,データ!$E$14:$G$21,2,TRUE)),VLOOKUP(M48,データ!$E$14:$G$21,3,TRUE),"")</f>
        <v>テーマ展</v>
      </c>
      <c r="Q48" s="44" t="str">
        <f t="shared" si="40"/>
        <v>○</v>
      </c>
      <c r="R48" s="45"/>
      <c r="S48" s="33" t="str">
        <f t="shared" si="54"/>
        <v/>
      </c>
      <c r="T48" s="45"/>
      <c r="U48" s="33" t="str">
        <f t="shared" si="47"/>
        <v>●</v>
      </c>
      <c r="V48" s="32"/>
      <c r="W48" s="33" t="str">
        <f t="shared" si="55"/>
        <v>○</v>
      </c>
      <c r="X48" s="26"/>
      <c r="Y48" s="33" t="str">
        <f t="shared" si="36"/>
        <v>○</v>
      </c>
      <c r="Z48" s="8">
        <f>IF(L48="閉","",(IF(AND(M48&gt;=VLOOKUP(M48,データ!$E$3:$G$9,1,TRUE),M48&lt;=VLOOKUP(M48,データ!$E$3:$G$9,2,TRUE)),VLOOKUP(M48,データ!$E$3:$H$9,4,TRUE),0)+IF(AND(M48&gt;=VLOOKUP(M48,データ!$E$14:$G$21,1,TRUE),M48&lt;=VLOOKUP(M48,データ!$E$14:$G$21,2,TRUE)),VLOOKUP(M48,データ!$E$14:$H$21,4,TRUE),0)))</f>
        <v>5</v>
      </c>
      <c r="AA48" s="33" t="str">
        <f t="shared" si="37"/>
        <v>○</v>
      </c>
      <c r="AB48" s="227">
        <f t="shared" si="38"/>
        <v>0.41666666666666669</v>
      </c>
      <c r="AC48" s="227">
        <f t="shared" si="39"/>
        <v>0.70833333333333337</v>
      </c>
      <c r="AD48" s="228" t="str">
        <f>IF(K48=1,IF(ISERROR(VLOOKUP(M48,データ!$A$3:$C$23,2,FALSE)),"",VLOOKUP(M48,データ!$A$3:$C$23,2,FALSE)),(IF(ISERROR(VLOOKUP(M48,データ!$A$3:$C$23,2,FALSE)),"",VLOOKUP(M48,データ!$A$3:$C$23,2,FALSE))))</f>
        <v/>
      </c>
    </row>
    <row r="49" spans="1:30" customFormat="1" ht="13.5">
      <c r="A49" s="1">
        <f>IF(AND(M49&gt;=VLOOKUP(M49,データ!$K$3:$O$6,1,TRUE),M49&lt;=VLOOKUP(M49,データ!$K$3:$O$6,2,TRUE)),VLOOKUP(M49,データ!$K$3:$O$6,5,TRUE),"")</f>
        <v>1</v>
      </c>
      <c r="B49" s="74">
        <f>IF(AND(M49&gt;=VLOOKUP(M49,データ!$K$3:$O$6,1,TRUE),M49&lt;=VLOOKUP(M49,データ!$K$3:$O$6,2,TRUE)),VLOOKUP(M49,データ!$K$3:$O$6,3,TRUE),"")</f>
        <v>0.41666666666666669</v>
      </c>
      <c r="C49" s="1">
        <f>IF(AND(M49&gt;=VLOOKUP(M49,データ!$K$11:$O$16,1,TRUE),M49&lt;=VLOOKUP(M49,データ!$K$11:$O$16,2,TRUE)),VLOOKUP(M49,データ!$K$11:$O$16,5,TRUE),0)</f>
        <v>0</v>
      </c>
      <c r="D49" s="74" t="str">
        <f>IF(AND(M49&gt;=VLOOKUP(M49,データ!$K$11:$O$16,1,TRUE),M49&lt;=VLOOKUP(M49,データ!$K$11:$O$16,2,TRUE)),VLOOKUP(M49,データ!$K$11:$O$16,3,TRUE),"")</f>
        <v/>
      </c>
      <c r="E49" s="74">
        <f t="shared" si="48"/>
        <v>0.41666666666666669</v>
      </c>
      <c r="F49" s="75">
        <f>VLOOKUP(E49,データ!$K$20:$O$24,5,FALSE)</f>
        <v>0</v>
      </c>
      <c r="G49" s="74">
        <f>IF(AND(M49&gt;=VLOOKUP(M49,データ!$K$3:$O$6,1,TRUE),M49&lt;=VLOOKUP(M49,データ!$K$3:$O$6,2,TRUE)),VLOOKUP(M49,データ!$K$3:$O$6,4,TRUE),"")</f>
        <v>0.70833333333333337</v>
      </c>
      <c r="H49" s="256">
        <f>INDEX(データ!L$21:N$24,MATCH(配置表!E49,データ!K$21:K$24,0),MATCH(配置表!G49,データ!L$20:N$20,0))</f>
        <v>1</v>
      </c>
      <c r="I49" s="52" t="str">
        <f>IF(ISERROR(VLOOKUP(M49,データ!$A$3:$C$20,3,FALSE)),"",VLOOKUP(M49,データ!$A$3:$C$20,3,FALSE))</f>
        <v/>
      </c>
      <c r="J49" s="52" t="str">
        <f t="shared" si="49"/>
        <v/>
      </c>
      <c r="K49" s="53">
        <f t="shared" si="44"/>
        <v>0</v>
      </c>
      <c r="L49" s="28" t="str">
        <f t="shared" si="34"/>
        <v/>
      </c>
      <c r="M49" s="9">
        <f t="shared" si="45"/>
        <v>45787</v>
      </c>
      <c r="N49" s="10" t="str">
        <f t="shared" si="35"/>
        <v>土</v>
      </c>
      <c r="O49" s="62" t="str">
        <f>IF(AND(M49&gt;=VLOOKUP(M49,データ!$E$3:$G$9,1,TRUE),M49&lt;=VLOOKUP(M49,データ!$E$3:$G$9,2,TRUE)),VLOOKUP(M49,データ!$E$3:$G$9,3,TRUE),"")</f>
        <v>春　特別展</v>
      </c>
      <c r="P49" s="67" t="str">
        <f>IF(AND(M49&gt;=VLOOKUP(M49,データ!$E$14:$G$21,1,TRUE),M49&lt;=VLOOKUP(M49,データ!$E$14:$G$21,2,TRUE)),VLOOKUP(M49,データ!$E$14:$G$21,3,TRUE),"")</f>
        <v>テーマ展</v>
      </c>
      <c r="Q49" s="44" t="str">
        <f t="shared" si="40"/>
        <v>○</v>
      </c>
      <c r="R49" s="45"/>
      <c r="S49" s="10" t="str">
        <f t="shared" ref="S49:S50" si="56">IF(L49="閉","休",IF(O49="","",IF(O49="冬　特別展",IF(OR(N49="土",N49="日",I49=1),"○",""),"○")))</f>
        <v>○</v>
      </c>
      <c r="T49" s="45"/>
      <c r="U49" s="33" t="str">
        <f t="shared" si="47"/>
        <v>●</v>
      </c>
      <c r="V49" s="32"/>
      <c r="W49" s="33" t="str">
        <f t="shared" ref="W49:W50" si="57">IF(L49="閉","休",IF(O49="","",IF(OR(N49="土",N49="日",I49=1),IF(OR(O49="ダミー　特別展",O49="ダミー　特別展"),"◎",IF(OR(O49="夏　特別展",O49="秋　特別展",O49="春　特別展"),"◎","")),"")))</f>
        <v>◎</v>
      </c>
      <c r="X49" s="26"/>
      <c r="Y49" s="33" t="str">
        <f t="shared" si="36"/>
        <v>○</v>
      </c>
      <c r="Z49" s="8">
        <f>IF(L49="閉","",(IF(AND(M49&gt;=VLOOKUP(M49,データ!$E$3:$G$9,1,TRUE),M49&lt;=VLOOKUP(M49,データ!$E$3:$G$9,2,TRUE)),VLOOKUP(M49,データ!$E$3:$H$9,4,TRUE),0)+IF(AND(M49&gt;=VLOOKUP(M49,データ!$E$14:$G$21,1,TRUE),M49&lt;=VLOOKUP(M49,データ!$E$14:$G$21,2,TRUE)),VLOOKUP(M49,データ!$E$14:$H$21,4,TRUE),0)))</f>
        <v>5</v>
      </c>
      <c r="AA49" s="33" t="str">
        <f t="shared" si="37"/>
        <v>○</v>
      </c>
      <c r="AB49" s="227">
        <f t="shared" si="38"/>
        <v>0.41666666666666669</v>
      </c>
      <c r="AC49" s="227">
        <f t="shared" si="39"/>
        <v>0.70833333333333337</v>
      </c>
      <c r="AD49" s="228" t="str">
        <f>IF(K49=1,IF(ISERROR(VLOOKUP(M49,データ!$A$3:$C$23,2,FALSE)),"",VLOOKUP(M49,データ!$A$3:$C$23,2,FALSE)),(IF(ISERROR(VLOOKUP(M49,データ!$A$3:$C$23,2,FALSE)),"",VLOOKUP(M49,データ!$A$3:$C$23,2,FALSE))))</f>
        <v/>
      </c>
    </row>
    <row r="50" spans="1:30" customFormat="1" ht="13.5">
      <c r="A50" s="1">
        <f>IF(AND(M50&gt;=VLOOKUP(M50,データ!$K$3:$O$6,1,TRUE),M50&lt;=VLOOKUP(M50,データ!$K$3:$O$6,2,TRUE)),VLOOKUP(M50,データ!$K$3:$O$6,5,TRUE),"")</f>
        <v>1</v>
      </c>
      <c r="B50" s="74">
        <f>IF(AND(M50&gt;=VLOOKUP(M50,データ!$K$3:$O$6,1,TRUE),M50&lt;=VLOOKUP(M50,データ!$K$3:$O$6,2,TRUE)),VLOOKUP(M50,データ!$K$3:$O$6,3,TRUE),"")</f>
        <v>0.41666666666666669</v>
      </c>
      <c r="C50" s="1">
        <f>IF(AND(M50&gt;=VLOOKUP(M50,データ!$K$11:$O$16,1,TRUE),M50&lt;=VLOOKUP(M50,データ!$K$11:$O$16,2,TRUE)),VLOOKUP(M50,データ!$K$11:$O$16,5,TRUE),0)</f>
        <v>0</v>
      </c>
      <c r="D50" s="74" t="str">
        <f>IF(AND(M50&gt;=VLOOKUP(M50,データ!$K$11:$O$16,1,TRUE),M50&lt;=VLOOKUP(M50,データ!$K$11:$O$16,2,TRUE)),VLOOKUP(M50,データ!$K$11:$O$16,3,TRUE),"")</f>
        <v/>
      </c>
      <c r="E50" s="74">
        <f t="shared" si="48"/>
        <v>0.41666666666666669</v>
      </c>
      <c r="F50" s="75">
        <f>VLOOKUP(E50,データ!$K$20:$O$24,5,FALSE)</f>
        <v>0</v>
      </c>
      <c r="G50" s="74">
        <f>IF(AND(M50&gt;=VLOOKUP(M50,データ!$K$3:$O$6,1,TRUE),M50&lt;=VLOOKUP(M50,データ!$K$3:$O$6,2,TRUE)),VLOOKUP(M50,データ!$K$3:$O$6,4,TRUE),"")</f>
        <v>0.70833333333333337</v>
      </c>
      <c r="H50" s="256">
        <f>INDEX(データ!L$21:N$24,MATCH(配置表!E50,データ!K$21:K$24,0),MATCH(配置表!G50,データ!L$20:N$20,0))</f>
        <v>1</v>
      </c>
      <c r="I50" s="52" t="str">
        <f>IF(ISERROR(VLOOKUP(M50,データ!$A$3:$C$20,3,FALSE)),"",VLOOKUP(M50,データ!$A$3:$C$20,3,FALSE))</f>
        <v/>
      </c>
      <c r="J50" s="52" t="str">
        <f t="shared" si="49"/>
        <v/>
      </c>
      <c r="K50" s="53">
        <f t="shared" si="44"/>
        <v>0</v>
      </c>
      <c r="L50" s="28" t="str">
        <f t="shared" si="34"/>
        <v/>
      </c>
      <c r="M50" s="9">
        <f t="shared" si="45"/>
        <v>45788</v>
      </c>
      <c r="N50" s="10" t="str">
        <f t="shared" si="35"/>
        <v>日</v>
      </c>
      <c r="O50" s="62" t="str">
        <f>IF(AND(M50&gt;=VLOOKUP(M50,データ!$E$3:$G$9,1,TRUE),M50&lt;=VLOOKUP(M50,データ!$E$3:$G$9,2,TRUE)),VLOOKUP(M50,データ!$E$3:$G$9,3,TRUE),"")</f>
        <v>春　特別展</v>
      </c>
      <c r="P50" s="67" t="str">
        <f>IF(AND(M50&gt;=VLOOKUP(M50,データ!$E$14:$G$21,1,TRUE),M50&lt;=VLOOKUP(M50,データ!$E$14:$G$21,2,TRUE)),VLOOKUP(M50,データ!$E$14:$G$21,3,TRUE),"")</f>
        <v>テーマ展</v>
      </c>
      <c r="Q50" s="44" t="str">
        <f t="shared" si="40"/>
        <v>○</v>
      </c>
      <c r="R50" s="45"/>
      <c r="S50" s="10" t="str">
        <f t="shared" si="56"/>
        <v>○</v>
      </c>
      <c r="T50" s="45"/>
      <c r="U50" s="33" t="str">
        <f t="shared" si="47"/>
        <v>●</v>
      </c>
      <c r="V50" s="32"/>
      <c r="W50" s="33" t="str">
        <f t="shared" si="57"/>
        <v>◎</v>
      </c>
      <c r="X50" s="26"/>
      <c r="Y50" s="33" t="str">
        <f t="shared" si="36"/>
        <v>○</v>
      </c>
      <c r="Z50" s="8">
        <f>IF(L50="閉","",(IF(AND(M50&gt;=VLOOKUP(M50,データ!$E$3:$G$9,1,TRUE),M50&lt;=VLOOKUP(M50,データ!$E$3:$G$9,2,TRUE)),VLOOKUP(M50,データ!$E$3:$H$9,4,TRUE),0)+IF(AND(M50&gt;=VLOOKUP(M50,データ!$E$14:$G$21,1,TRUE),M50&lt;=VLOOKUP(M50,データ!$E$14:$G$21,2,TRUE)),VLOOKUP(M50,データ!$E$14:$H$21,4,TRUE),0)))</f>
        <v>5</v>
      </c>
      <c r="AA50" s="33" t="str">
        <f t="shared" si="37"/>
        <v>○</v>
      </c>
      <c r="AB50" s="227">
        <f t="shared" si="38"/>
        <v>0.41666666666666669</v>
      </c>
      <c r="AC50" s="227">
        <f t="shared" si="39"/>
        <v>0.70833333333333337</v>
      </c>
      <c r="AD50" s="228" t="str">
        <f>IF(K50=1,IF(ISERROR(VLOOKUP(M50,データ!$A$3:$C$23,2,FALSE)),"",VLOOKUP(M50,データ!$A$3:$C$23,2,FALSE)),(IF(ISERROR(VLOOKUP(M50,データ!$A$3:$C$23,2,FALSE)),"",VLOOKUP(M50,データ!$A$3:$C$23,2,FALSE))))</f>
        <v/>
      </c>
    </row>
    <row r="51" spans="1:30" customFormat="1" ht="13.5">
      <c r="A51" s="1">
        <f>IF(AND(M51&gt;=VLOOKUP(M51,データ!$K$3:$O$6,1,TRUE),M51&lt;=VLOOKUP(M51,データ!$K$3:$O$6,2,TRUE)),VLOOKUP(M51,データ!$K$3:$O$6,5,TRUE),"")</f>
        <v>1</v>
      </c>
      <c r="B51" s="74">
        <f>IF(AND(M51&gt;=VLOOKUP(M51,データ!$K$3:$O$6,1,TRUE),M51&lt;=VLOOKUP(M51,データ!$K$3:$O$6,2,TRUE)),VLOOKUP(M51,データ!$K$3:$O$6,3,TRUE),"")</f>
        <v>0.41666666666666669</v>
      </c>
      <c r="C51" s="1">
        <f>IF(AND(M51&gt;=VLOOKUP(M51,データ!$K$11:$O$16,1,TRUE),M51&lt;=VLOOKUP(M51,データ!$K$11:$O$16,2,TRUE)),VLOOKUP(M51,データ!$K$11:$O$16,5,TRUE),0)</f>
        <v>0</v>
      </c>
      <c r="D51" s="74" t="str">
        <f>IF(AND(M51&gt;=VLOOKUP(M51,データ!$K$11:$O$16,1,TRUE),M51&lt;=VLOOKUP(M51,データ!$K$11:$O$16,2,TRUE)),VLOOKUP(M51,データ!$K$11:$O$16,3,TRUE),"")</f>
        <v/>
      </c>
      <c r="E51" s="74">
        <f t="shared" si="48"/>
        <v>0.41666666666666669</v>
      </c>
      <c r="F51" s="75">
        <f>VLOOKUP(E51,データ!$K$20:$O$24,5,FALSE)</f>
        <v>0</v>
      </c>
      <c r="G51" s="74">
        <f>IF(AND(M51&gt;=VLOOKUP(M51,データ!$K$3:$O$6,1,TRUE),M51&lt;=VLOOKUP(M51,データ!$K$3:$O$6,2,TRUE)),VLOOKUP(M51,データ!$K$3:$O$6,4,TRUE),"")</f>
        <v>0.70833333333333337</v>
      </c>
      <c r="H51" s="256">
        <f>INDEX(データ!L$21:N$24,MATCH(配置表!E51,データ!K$21:K$24,0),MATCH(配置表!G51,データ!L$20:N$20,0))</f>
        <v>1</v>
      </c>
      <c r="I51" s="52" t="str">
        <f>IF(ISERROR(VLOOKUP(M51,データ!$A$3:$C$20,3,FALSE)),"",VLOOKUP(M51,データ!$A$3:$C$20,3,FALSE))</f>
        <v/>
      </c>
      <c r="J51" s="52">
        <f t="shared" si="49"/>
        <v>1</v>
      </c>
      <c r="K51" s="53">
        <f t="shared" si="44"/>
        <v>1</v>
      </c>
      <c r="L51" s="28" t="str">
        <f t="shared" si="34"/>
        <v>閉</v>
      </c>
      <c r="M51" s="9">
        <f t="shared" si="45"/>
        <v>45789</v>
      </c>
      <c r="N51" s="10" t="str">
        <f t="shared" si="35"/>
        <v>月</v>
      </c>
      <c r="O51" s="62" t="str">
        <f>IF(AND(M51&gt;=VLOOKUP(M51,データ!$E$3:$G$9,1,TRUE),M51&lt;=VLOOKUP(M51,データ!$E$3:$G$9,2,TRUE)),VLOOKUP(M51,データ!$E$3:$G$9,3,TRUE),"")</f>
        <v>春　特別展</v>
      </c>
      <c r="P51" s="67" t="str">
        <f>IF(AND(M51&gt;=VLOOKUP(M51,データ!$E$14:$G$21,1,TRUE),M51&lt;=VLOOKUP(M51,データ!$E$14:$G$21,2,TRUE)),VLOOKUP(M51,データ!$E$14:$G$21,3,TRUE),"")</f>
        <v>テーマ展</v>
      </c>
      <c r="Q51" s="44" t="str">
        <f t="shared" si="40"/>
        <v>休</v>
      </c>
      <c r="R51" s="26"/>
      <c r="S51" s="33" t="str">
        <f t="shared" si="46"/>
        <v>休</v>
      </c>
      <c r="T51" s="26"/>
      <c r="U51" s="33" t="str">
        <f t="shared" si="47"/>
        <v>休</v>
      </c>
      <c r="V51" s="26"/>
      <c r="W51" s="33" t="str">
        <f t="shared" si="53"/>
        <v>休</v>
      </c>
      <c r="X51" s="26"/>
      <c r="Y51" s="33" t="str">
        <f t="shared" si="36"/>
        <v>休</v>
      </c>
      <c r="Z51" s="8" t="str">
        <f>IF(L51="閉","",(IF(AND(M51&gt;=VLOOKUP(M51,データ!$E$3:$G$9,1,TRUE),M51&lt;=VLOOKUP(M51,データ!$E$3:$G$9,2,TRUE)),VLOOKUP(M51,データ!$E$3:$H$9,4,TRUE),0)+IF(AND(M51&gt;=VLOOKUP(M51,データ!$E$14:$G$21,1,TRUE),M51&lt;=VLOOKUP(M51,データ!$E$14:$G$21,2,TRUE)),VLOOKUP(M51,データ!$E$14:$H$21,4,TRUE),0)))</f>
        <v/>
      </c>
      <c r="AA51" s="33" t="str">
        <f t="shared" si="37"/>
        <v>休</v>
      </c>
      <c r="AB51" s="227" t="str">
        <f t="shared" si="38"/>
        <v/>
      </c>
      <c r="AC51" s="227" t="str">
        <f t="shared" si="39"/>
        <v/>
      </c>
      <c r="AD51" s="235" t="str">
        <f>IF(K51=1,IF(ISERROR(VLOOKUP(M51,データ!$A$3:$C$23,2,FALSE)),"",VLOOKUP(M51,データ!$A$3:$C$23,2,FALSE)),(IF(ISERROR(VLOOKUP(M51,データ!$A$3:$C$23,2,FALSE)),"",VLOOKUP(M51,データ!$A$3:$C$23,2,FALSE))))</f>
        <v/>
      </c>
    </row>
    <row r="52" spans="1:30">
      <c r="A52" s="1">
        <f>IF(AND(M52&gt;=VLOOKUP(M52,データ!$K$3:$O$6,1,TRUE),M52&lt;=VLOOKUP(M52,データ!$K$3:$O$6,2,TRUE)),VLOOKUP(M52,データ!$K$3:$O$6,5,TRUE),"")</f>
        <v>1</v>
      </c>
      <c r="B52" s="74">
        <f>IF(AND(M52&gt;=VLOOKUP(M52,データ!$K$3:$O$6,1,TRUE),M52&lt;=VLOOKUP(M52,データ!$K$3:$O$6,2,TRUE)),VLOOKUP(M52,データ!$K$3:$O$6,3,TRUE),"")</f>
        <v>0.41666666666666669</v>
      </c>
      <c r="C52" s="1">
        <f>IF(AND(M52&gt;=VLOOKUP(M52,データ!$K$11:$O$16,1,TRUE),M52&lt;=VLOOKUP(M52,データ!$K$11:$O$16,2,TRUE)),VLOOKUP(M52,データ!$K$11:$O$16,5,TRUE),0)</f>
        <v>0</v>
      </c>
      <c r="D52" s="74" t="str">
        <f>IF(AND(M52&gt;=VLOOKUP(M52,データ!$K$11:$O$16,1,TRUE),M52&lt;=VLOOKUP(M52,データ!$K$11:$O$16,2,TRUE)),VLOOKUP(M52,データ!$K$11:$O$16,3,TRUE),"")</f>
        <v/>
      </c>
      <c r="E52" s="74">
        <f t="shared" si="48"/>
        <v>0.41666666666666669</v>
      </c>
      <c r="F52" s="75">
        <f>VLOOKUP(E52,データ!$K$20:$O$24,5,FALSE)</f>
        <v>0</v>
      </c>
      <c r="G52" s="74">
        <f>IF(AND(M52&gt;=VLOOKUP(M52,データ!$K$3:$O$6,1,TRUE),M52&lt;=VLOOKUP(M52,データ!$K$3:$O$6,2,TRUE)),VLOOKUP(M52,データ!$K$3:$O$6,4,TRUE),"")</f>
        <v>0.70833333333333337</v>
      </c>
      <c r="H52" s="256">
        <f>INDEX(データ!L$21:N$24,MATCH(配置表!E52,データ!K$21:K$24,0),MATCH(配置表!G52,データ!L$20:N$20,0))</f>
        <v>1</v>
      </c>
      <c r="I52" s="52" t="str">
        <f>IF(ISERROR(VLOOKUP(M52,データ!$A$3:$C$20,3,FALSE)),"",VLOOKUP(M52,データ!$A$3:$C$20,3,FALSE))</f>
        <v/>
      </c>
      <c r="J52" s="52" t="str">
        <f t="shared" si="49"/>
        <v/>
      </c>
      <c r="K52" s="53">
        <f t="shared" si="44"/>
        <v>0</v>
      </c>
      <c r="L52" s="28" t="str">
        <f t="shared" si="34"/>
        <v/>
      </c>
      <c r="M52" s="9">
        <f t="shared" si="45"/>
        <v>45790</v>
      </c>
      <c r="N52" s="10" t="str">
        <f t="shared" si="35"/>
        <v>火</v>
      </c>
      <c r="O52" s="62" t="str">
        <f>IF(AND(M52&gt;=VLOOKUP(M52,データ!$E$3:$G$9,1,TRUE),M52&lt;=VLOOKUP(M52,データ!$E$3:$G$9,2,TRUE)),VLOOKUP(M52,データ!$E$3:$G$9,3,TRUE),"")</f>
        <v>春　特別展</v>
      </c>
      <c r="P52" s="67" t="str">
        <f>IF(AND(M52&gt;=VLOOKUP(M52,データ!$E$14:$G$21,1,TRUE),M52&lt;=VLOOKUP(M52,データ!$E$14:$G$21,2,TRUE)),VLOOKUP(M52,データ!$E$14:$G$21,3,TRUE),"")</f>
        <v>テーマ展</v>
      </c>
      <c r="Q52" s="44" t="str">
        <f t="shared" si="40"/>
        <v>○</v>
      </c>
      <c r="R52" s="45"/>
      <c r="S52" s="33" t="str">
        <f t="shared" ref="S52:S53" si="58">IF(H52="閉","休",IF(K52="","",IF(OR(J52="土",J52="日",E52=1),IF(OR(K52="ダミー　特別展",K52="ダミー　特別展"),"◎",IF(OR(K52="夏　特別展",K52="秋　特別展",K52="春　特別展"),"○","")),"")))</f>
        <v/>
      </c>
      <c r="T52" s="45"/>
      <c r="U52" s="33" t="str">
        <f t="shared" si="47"/>
        <v>●</v>
      </c>
      <c r="V52" s="32"/>
      <c r="W52" s="33" t="str">
        <f t="shared" ref="W52:W53" si="59">IF(P52="閉","休",IF(O52="","",IF(O52="冬　特別展",IF(OR(N52="土",N52="日",M52=1),"○",""),"○")))</f>
        <v>○</v>
      </c>
      <c r="X52" s="8"/>
      <c r="Y52" s="33" t="str">
        <f t="shared" si="36"/>
        <v>○</v>
      </c>
      <c r="Z52" s="8">
        <f>IF(L52="閉","",(IF(AND(M52&gt;=VLOOKUP(M52,データ!$E$3:$G$9,1,TRUE),M52&lt;=VLOOKUP(M52,データ!$E$3:$G$9,2,TRUE)),VLOOKUP(M52,データ!$E$3:$H$9,4,TRUE),0)+IF(AND(M52&gt;=VLOOKUP(M52,データ!$E$14:$G$21,1,TRUE),M52&lt;=VLOOKUP(M52,データ!$E$14:$G$21,2,TRUE)),VLOOKUP(M52,データ!$E$14:$H$21,4,TRUE),0)))</f>
        <v>5</v>
      </c>
      <c r="AA52" s="33" t="str">
        <f t="shared" si="37"/>
        <v>○</v>
      </c>
      <c r="AB52" s="227">
        <f t="shared" si="38"/>
        <v>0.41666666666666669</v>
      </c>
      <c r="AC52" s="227">
        <f t="shared" si="39"/>
        <v>0.70833333333333337</v>
      </c>
      <c r="AD52" s="228" t="str">
        <f>IF(K52=1,IF(ISERROR(VLOOKUP(M52,データ!$A$3:$C$23,2,FALSE)),"",VLOOKUP(M52,データ!$A$3:$C$23,2,FALSE)),(IF(ISERROR(VLOOKUP(M52,データ!$A$3:$C$23,2,FALSE)),"",VLOOKUP(M52,データ!$A$3:$C$23,2,FALSE))))</f>
        <v/>
      </c>
    </row>
    <row r="53" spans="1:30">
      <c r="A53" s="1">
        <f>IF(AND(M53&gt;=VLOOKUP(M53,データ!$K$3:$O$6,1,TRUE),M53&lt;=VLOOKUP(M53,データ!$K$3:$O$6,2,TRUE)),VLOOKUP(M53,データ!$K$3:$O$6,5,TRUE),"")</f>
        <v>1</v>
      </c>
      <c r="B53" s="74">
        <f>IF(AND(M53&gt;=VLOOKUP(M53,データ!$K$3:$O$6,1,TRUE),M53&lt;=VLOOKUP(M53,データ!$K$3:$O$6,2,TRUE)),VLOOKUP(M53,データ!$K$3:$O$6,3,TRUE),"")</f>
        <v>0.41666666666666669</v>
      </c>
      <c r="C53" s="1">
        <f>IF(AND(M53&gt;=VLOOKUP(M53,データ!$K$11:$O$16,1,TRUE),M53&lt;=VLOOKUP(M53,データ!$K$11:$O$16,2,TRUE)),VLOOKUP(M53,データ!$K$11:$O$16,5,TRUE),0)</f>
        <v>0</v>
      </c>
      <c r="D53" s="74" t="str">
        <f>IF(AND(M53&gt;=VLOOKUP(M53,データ!$K$11:$O$16,1,TRUE),M53&lt;=VLOOKUP(M53,データ!$K$11:$O$16,2,TRUE)),VLOOKUP(M53,データ!$K$11:$O$16,3,TRUE),"")</f>
        <v/>
      </c>
      <c r="E53" s="74">
        <f t="shared" si="48"/>
        <v>0.41666666666666669</v>
      </c>
      <c r="F53" s="75">
        <f>VLOOKUP(E53,データ!$K$20:$O$24,5,FALSE)</f>
        <v>0</v>
      </c>
      <c r="G53" s="74">
        <f>IF(AND(M53&gt;=VLOOKUP(M53,データ!$K$3:$O$6,1,TRUE),M53&lt;=VLOOKUP(M53,データ!$K$3:$O$6,2,TRUE)),VLOOKUP(M53,データ!$K$3:$O$6,4,TRUE),"")</f>
        <v>0.70833333333333337</v>
      </c>
      <c r="H53" s="256">
        <f>INDEX(データ!L$21:N$24,MATCH(配置表!E53,データ!K$21:K$24,0),MATCH(配置表!G53,データ!L$20:N$20,0))</f>
        <v>1</v>
      </c>
      <c r="I53" s="52" t="str">
        <f>IF(ISERROR(VLOOKUP(M53,データ!$A$3:$C$20,3,FALSE)),"",VLOOKUP(M53,データ!$A$3:$C$20,3,FALSE))</f>
        <v/>
      </c>
      <c r="J53" s="52" t="str">
        <f t="shared" si="49"/>
        <v/>
      </c>
      <c r="K53" s="53">
        <f t="shared" si="44"/>
        <v>0</v>
      </c>
      <c r="L53" s="28" t="str">
        <f t="shared" si="34"/>
        <v/>
      </c>
      <c r="M53" s="9">
        <f t="shared" si="45"/>
        <v>45791</v>
      </c>
      <c r="N53" s="10" t="str">
        <f t="shared" si="35"/>
        <v>水</v>
      </c>
      <c r="O53" s="62" t="str">
        <f>IF(AND(M53&gt;=VLOOKUP(M53,データ!$E$3:$G$9,1,TRUE),M53&lt;=VLOOKUP(M53,データ!$E$3:$G$9,2,TRUE)),VLOOKUP(M53,データ!$E$3:$G$9,3,TRUE),"")</f>
        <v>春　特別展</v>
      </c>
      <c r="P53" s="67" t="str">
        <f>IF(AND(M53&gt;=VLOOKUP(M53,データ!$E$14:$G$21,1,TRUE),M53&lt;=VLOOKUP(M53,データ!$E$14:$G$21,2,TRUE)),VLOOKUP(M53,データ!$E$14:$G$21,3,TRUE),"")</f>
        <v>テーマ展</v>
      </c>
      <c r="Q53" s="44" t="str">
        <f t="shared" si="40"/>
        <v>○</v>
      </c>
      <c r="R53" s="45"/>
      <c r="S53" s="33" t="str">
        <f t="shared" si="58"/>
        <v/>
      </c>
      <c r="T53" s="45"/>
      <c r="U53" s="33" t="str">
        <f t="shared" si="47"/>
        <v>●</v>
      </c>
      <c r="V53" s="32"/>
      <c r="W53" s="33" t="str">
        <f t="shared" si="59"/>
        <v>○</v>
      </c>
      <c r="X53" s="8"/>
      <c r="Y53" s="33" t="str">
        <f t="shared" si="36"/>
        <v>○</v>
      </c>
      <c r="Z53" s="8">
        <f>IF(L53="閉","",(IF(AND(M53&gt;=VLOOKUP(M53,データ!$E$3:$G$9,1,TRUE),M53&lt;=VLOOKUP(M53,データ!$E$3:$G$9,2,TRUE)),VLOOKUP(M53,データ!$E$3:$H$9,4,TRUE),0)+IF(AND(M53&gt;=VLOOKUP(M53,データ!$E$14:$G$21,1,TRUE),M53&lt;=VLOOKUP(M53,データ!$E$14:$G$21,2,TRUE)),VLOOKUP(M53,データ!$E$14:$H$21,4,TRUE),0)))</f>
        <v>5</v>
      </c>
      <c r="AA53" s="33" t="str">
        <f t="shared" si="37"/>
        <v>○</v>
      </c>
      <c r="AB53" s="227">
        <f t="shared" si="38"/>
        <v>0.41666666666666669</v>
      </c>
      <c r="AC53" s="227">
        <f t="shared" si="39"/>
        <v>0.70833333333333337</v>
      </c>
      <c r="AD53" s="228" t="str">
        <f>IF(K53=1,IF(ISERROR(VLOOKUP(M53,データ!$A$3:$C$23,2,FALSE)),"",VLOOKUP(M53,データ!$A$3:$C$23,2,FALSE)),(IF(ISERROR(VLOOKUP(M53,データ!$A$3:$C$23,2,FALSE)),"",VLOOKUP(M53,データ!$A$3:$C$23,2,FALSE))))</f>
        <v/>
      </c>
    </row>
    <row r="54" spans="1:30">
      <c r="A54" s="1">
        <f>IF(AND(M54&gt;=VLOOKUP(M54,データ!$K$3:$O$6,1,TRUE),M54&lt;=VLOOKUP(M54,データ!$K$3:$O$6,2,TRUE)),VLOOKUP(M54,データ!$K$3:$O$6,5,TRUE),"")</f>
        <v>1</v>
      </c>
      <c r="B54" s="74">
        <f>IF(AND(M54&gt;=VLOOKUP(M54,データ!$K$3:$O$6,1,TRUE),M54&lt;=VLOOKUP(M54,データ!$K$3:$O$6,2,TRUE)),VLOOKUP(M54,データ!$K$3:$O$6,3,TRUE),"")</f>
        <v>0.41666666666666669</v>
      </c>
      <c r="C54" s="1">
        <f>IF(AND(M54&gt;=VLOOKUP(M54,データ!$K$11:$O$16,1,TRUE),M54&lt;=VLOOKUP(M54,データ!$K$11:$O$16,2,TRUE)),VLOOKUP(M54,データ!$K$11:$O$16,5,TRUE),0)</f>
        <v>0</v>
      </c>
      <c r="D54" s="74" t="str">
        <f>IF(AND(M54&gt;=VLOOKUP(M54,データ!$K$11:$O$16,1,TRUE),M54&lt;=VLOOKUP(M54,データ!$K$11:$O$16,2,TRUE)),VLOOKUP(M54,データ!$K$11:$O$16,3,TRUE),"")</f>
        <v/>
      </c>
      <c r="E54" s="74">
        <f t="shared" si="48"/>
        <v>0.41666666666666669</v>
      </c>
      <c r="F54" s="75">
        <f>VLOOKUP(E54,データ!$K$20:$O$24,5,FALSE)</f>
        <v>0</v>
      </c>
      <c r="G54" s="74">
        <f>IF(AND(M54&gt;=VLOOKUP(M54,データ!$K$3:$O$6,1,TRUE),M54&lt;=VLOOKUP(M54,データ!$K$3:$O$6,2,TRUE)),VLOOKUP(M54,データ!$K$3:$O$6,4,TRUE),"")</f>
        <v>0.70833333333333337</v>
      </c>
      <c r="H54" s="256">
        <f>INDEX(データ!L$21:N$24,MATCH(配置表!E54,データ!K$21:K$24,0),MATCH(配置表!G54,データ!L$20:N$20,0))</f>
        <v>1</v>
      </c>
      <c r="I54" s="52" t="str">
        <f>IF(ISERROR(VLOOKUP(M54,データ!$A$3:$C$20,3,FALSE)),"",VLOOKUP(M54,データ!$A$3:$C$20,3,FALSE))</f>
        <v/>
      </c>
      <c r="J54" s="52" t="str">
        <f t="shared" si="49"/>
        <v/>
      </c>
      <c r="K54" s="53">
        <f t="shared" si="44"/>
        <v>0</v>
      </c>
      <c r="L54" s="28" t="str">
        <f t="shared" si="34"/>
        <v/>
      </c>
      <c r="M54" s="9">
        <f t="shared" si="45"/>
        <v>45792</v>
      </c>
      <c r="N54" s="10" t="str">
        <f t="shared" si="35"/>
        <v>木</v>
      </c>
      <c r="O54" s="62" t="str">
        <f>IF(AND(M54&gt;=VLOOKUP(M54,データ!$E$3:$G$9,1,TRUE),M54&lt;=VLOOKUP(M54,データ!$E$3:$G$9,2,TRUE)),VLOOKUP(M54,データ!$E$3:$G$9,3,TRUE),"")</f>
        <v>春　特別展</v>
      </c>
      <c r="P54" s="67" t="str">
        <f>IF(AND(M54&gt;=VLOOKUP(M54,データ!$E$14:$G$21,1,TRUE),M54&lt;=VLOOKUP(M54,データ!$E$14:$G$21,2,TRUE)),VLOOKUP(M54,データ!$E$14:$G$21,3,TRUE),"")</f>
        <v>テーマ展</v>
      </c>
      <c r="Q54" s="44" t="str">
        <f t="shared" si="40"/>
        <v>○</v>
      </c>
      <c r="R54" s="45"/>
      <c r="S54" s="33" t="str">
        <f t="shared" ref="S54:S55" si="60">IF(H54="閉","休",IF(K54="","",IF(OR(J54="土",J54="日",E54=1),IF(OR(K54="ダミー　特別展",K54="ダミー　特別展"),"◎",IF(OR(K54="夏　特別展",K54="秋　特別展",K54="春　特別展"),"○","")),"")))</f>
        <v/>
      </c>
      <c r="T54" s="45"/>
      <c r="U54" s="33" t="str">
        <f t="shared" ref="U54:U57" si="61">IF(L54="閉","休",IF(S54="","●","●"))</f>
        <v>●</v>
      </c>
      <c r="V54" s="32"/>
      <c r="W54" s="33" t="str">
        <f t="shared" ref="W54:W55" si="62">IF(P54="閉","休",IF(O54="","",IF(O54="冬　特別展",IF(OR(N54="土",N54="日",M54=1),"○",""),"○")))</f>
        <v>○</v>
      </c>
      <c r="X54" s="8"/>
      <c r="Y54" s="33" t="str">
        <f t="shared" si="36"/>
        <v>○</v>
      </c>
      <c r="Z54" s="8">
        <f>IF(L54="閉","",(IF(AND(M54&gt;=VLOOKUP(M54,データ!$E$3:$G$9,1,TRUE),M54&lt;=VLOOKUP(M54,データ!$E$3:$G$9,2,TRUE)),VLOOKUP(M54,データ!$E$3:$H$9,4,TRUE),0)+IF(AND(M54&gt;=VLOOKUP(M54,データ!$E$14:$G$21,1,TRUE),M54&lt;=VLOOKUP(M54,データ!$E$14:$G$21,2,TRUE)),VLOOKUP(M54,データ!$E$14:$H$21,4,TRUE),0)))</f>
        <v>5</v>
      </c>
      <c r="AA54" s="33" t="str">
        <f t="shared" si="37"/>
        <v>○</v>
      </c>
      <c r="AB54" s="227">
        <f t="shared" si="38"/>
        <v>0.41666666666666669</v>
      </c>
      <c r="AC54" s="227">
        <f t="shared" si="39"/>
        <v>0.70833333333333337</v>
      </c>
      <c r="AD54" s="228" t="str">
        <f>IF(K54=1,IF(ISERROR(VLOOKUP(M54,データ!$A$3:$C$23,2,FALSE)),"",VLOOKUP(M54,データ!$A$3:$C$23,2,FALSE)),(IF(ISERROR(VLOOKUP(M54,データ!$A$3:$C$23,2,FALSE)),"",VLOOKUP(M54,データ!$A$3:$C$23,2,FALSE))))</f>
        <v/>
      </c>
    </row>
    <row r="55" spans="1:30">
      <c r="A55" s="1">
        <f>IF(AND(M55&gt;=VLOOKUP(M55,データ!$K$3:$O$6,1,TRUE),M55&lt;=VLOOKUP(M55,データ!$K$3:$O$6,2,TRUE)),VLOOKUP(M55,データ!$K$3:$O$6,5,TRUE),"")</f>
        <v>1</v>
      </c>
      <c r="B55" s="74">
        <f>IF(AND(M55&gt;=VLOOKUP(M55,データ!$K$3:$O$6,1,TRUE),M55&lt;=VLOOKUP(M55,データ!$K$3:$O$6,2,TRUE)),VLOOKUP(M55,データ!$K$3:$O$6,3,TRUE),"")</f>
        <v>0.41666666666666669</v>
      </c>
      <c r="C55" s="1">
        <f>IF(AND(M55&gt;=VLOOKUP(M55,データ!$K$11:$O$16,1,TRUE),M55&lt;=VLOOKUP(M55,データ!$K$11:$O$16,2,TRUE)),VLOOKUP(M55,データ!$K$11:$O$16,5,TRUE),0)</f>
        <v>0</v>
      </c>
      <c r="D55" s="74" t="str">
        <f>IF(AND(M55&gt;=VLOOKUP(M55,データ!$K$11:$O$16,1,TRUE),M55&lt;=VLOOKUP(M55,データ!$K$11:$O$16,2,TRUE)),VLOOKUP(M55,データ!$K$11:$O$16,3,TRUE),"")</f>
        <v/>
      </c>
      <c r="E55" s="74">
        <f t="shared" si="48"/>
        <v>0.41666666666666669</v>
      </c>
      <c r="F55" s="75">
        <f>VLOOKUP(E55,データ!$K$20:$O$24,5,FALSE)</f>
        <v>0</v>
      </c>
      <c r="G55" s="74">
        <f>IF(AND(M55&gt;=VLOOKUP(M55,データ!$K$3:$O$6,1,TRUE),M55&lt;=VLOOKUP(M55,データ!$K$3:$O$6,2,TRUE)),VLOOKUP(M55,データ!$K$3:$O$6,4,TRUE),"")</f>
        <v>0.70833333333333337</v>
      </c>
      <c r="H55" s="256">
        <f>INDEX(データ!L$21:N$24,MATCH(配置表!E55,データ!K$21:K$24,0),MATCH(配置表!G55,データ!L$20:N$20,0))</f>
        <v>1</v>
      </c>
      <c r="I55" s="52" t="str">
        <f>IF(ISERROR(VLOOKUP(M55,データ!$A$3:$C$20,3,FALSE)),"",VLOOKUP(M55,データ!$A$3:$C$20,3,FALSE))</f>
        <v/>
      </c>
      <c r="J55" s="52" t="str">
        <f t="shared" si="49"/>
        <v/>
      </c>
      <c r="K55" s="53">
        <f t="shared" si="44"/>
        <v>0</v>
      </c>
      <c r="L55" s="28" t="str">
        <f t="shared" si="34"/>
        <v/>
      </c>
      <c r="M55" s="9">
        <f t="shared" si="45"/>
        <v>45793</v>
      </c>
      <c r="N55" s="10" t="str">
        <f t="shared" si="35"/>
        <v>金</v>
      </c>
      <c r="O55" s="62" t="str">
        <f>IF(AND(M55&gt;=VLOOKUP(M55,データ!$E$3:$G$9,1,TRUE),M55&lt;=VLOOKUP(M55,データ!$E$3:$G$9,2,TRUE)),VLOOKUP(M55,データ!$E$3:$G$9,3,TRUE),"")</f>
        <v>春　特別展</v>
      </c>
      <c r="P55" s="67" t="str">
        <f>IF(AND(M55&gt;=VLOOKUP(M55,データ!$E$14:$G$21,1,TRUE),M55&lt;=VLOOKUP(M55,データ!$E$14:$G$21,2,TRUE)),VLOOKUP(M55,データ!$E$14:$G$21,3,TRUE),"")</f>
        <v>テーマ展</v>
      </c>
      <c r="Q55" s="44" t="str">
        <f t="shared" si="40"/>
        <v>○</v>
      </c>
      <c r="R55" s="45"/>
      <c r="S55" s="33" t="str">
        <f t="shared" si="60"/>
        <v/>
      </c>
      <c r="T55" s="45"/>
      <c r="U55" s="33" t="str">
        <f t="shared" si="61"/>
        <v>●</v>
      </c>
      <c r="V55" s="32"/>
      <c r="W55" s="33" t="str">
        <f t="shared" si="62"/>
        <v>○</v>
      </c>
      <c r="X55" s="8"/>
      <c r="Y55" s="33" t="str">
        <f t="shared" si="36"/>
        <v>○</v>
      </c>
      <c r="Z55" s="8">
        <f>IF(L55="閉","",(IF(AND(M55&gt;=VLOOKUP(M55,データ!$E$3:$G$9,1,TRUE),M55&lt;=VLOOKUP(M55,データ!$E$3:$G$9,2,TRUE)),VLOOKUP(M55,データ!$E$3:$H$9,4,TRUE),0)+IF(AND(M55&gt;=VLOOKUP(M55,データ!$E$14:$G$21,1,TRUE),M55&lt;=VLOOKUP(M55,データ!$E$14:$G$21,2,TRUE)),VLOOKUP(M55,データ!$E$14:$H$21,4,TRUE),0)))</f>
        <v>5</v>
      </c>
      <c r="AA55" s="33" t="str">
        <f t="shared" si="37"/>
        <v>○</v>
      </c>
      <c r="AB55" s="227">
        <f t="shared" si="38"/>
        <v>0.41666666666666669</v>
      </c>
      <c r="AC55" s="227">
        <f t="shared" si="39"/>
        <v>0.70833333333333337</v>
      </c>
      <c r="AD55" s="228" t="str">
        <f>IF(K55=1,IF(ISERROR(VLOOKUP(M55,データ!$A$3:$C$23,2,FALSE)),"",VLOOKUP(M55,データ!$A$3:$C$23,2,FALSE)),(IF(ISERROR(VLOOKUP(M55,データ!$A$3:$C$23,2,FALSE)),"",VLOOKUP(M55,データ!$A$3:$C$23,2,FALSE))))</f>
        <v/>
      </c>
    </row>
    <row r="56" spans="1:30">
      <c r="A56" s="1">
        <f>IF(AND(M56&gt;=VLOOKUP(M56,データ!$K$3:$O$6,1,TRUE),M56&lt;=VLOOKUP(M56,データ!$K$3:$O$6,2,TRUE)),VLOOKUP(M56,データ!$K$3:$O$6,5,TRUE),"")</f>
        <v>1</v>
      </c>
      <c r="B56" s="74">
        <f>IF(AND(M56&gt;=VLOOKUP(M56,データ!$K$3:$O$6,1,TRUE),M56&lt;=VLOOKUP(M56,データ!$K$3:$O$6,2,TRUE)),VLOOKUP(M56,データ!$K$3:$O$6,3,TRUE),"")</f>
        <v>0.41666666666666669</v>
      </c>
      <c r="C56" s="1">
        <f>IF(AND(M56&gt;=VLOOKUP(M56,データ!$K$11:$O$16,1,TRUE),M56&lt;=VLOOKUP(M56,データ!$K$11:$O$16,2,TRUE)),VLOOKUP(M56,データ!$K$11:$O$16,5,TRUE),0)</f>
        <v>0</v>
      </c>
      <c r="D56" s="74" t="str">
        <f>IF(AND(M56&gt;=VLOOKUP(M56,データ!$K$11:$O$16,1,TRUE),M56&lt;=VLOOKUP(M56,データ!$K$11:$O$16,2,TRUE)),VLOOKUP(M56,データ!$K$11:$O$16,3,TRUE),"")</f>
        <v/>
      </c>
      <c r="E56" s="74">
        <f t="shared" si="48"/>
        <v>0.41666666666666669</v>
      </c>
      <c r="F56" s="75">
        <f>VLOOKUP(E56,データ!$K$20:$O$24,5,FALSE)</f>
        <v>0</v>
      </c>
      <c r="G56" s="74">
        <f>IF(AND(M56&gt;=VLOOKUP(M56,データ!$K$3:$O$6,1,TRUE),M56&lt;=VLOOKUP(M56,データ!$K$3:$O$6,2,TRUE)),VLOOKUP(M56,データ!$K$3:$O$6,4,TRUE),"")</f>
        <v>0.70833333333333337</v>
      </c>
      <c r="H56" s="256">
        <f>INDEX(データ!L$21:N$24,MATCH(配置表!E56,データ!K$21:K$24,0),MATCH(配置表!G56,データ!L$20:N$20,0))</f>
        <v>1</v>
      </c>
      <c r="I56" s="52" t="str">
        <f>IF(ISERROR(VLOOKUP(M56,データ!$A$3:$C$20,3,FALSE)),"",VLOOKUP(M56,データ!$A$3:$C$20,3,FALSE))</f>
        <v/>
      </c>
      <c r="J56" s="52" t="str">
        <f t="shared" si="49"/>
        <v/>
      </c>
      <c r="K56" s="53">
        <f t="shared" si="44"/>
        <v>0</v>
      </c>
      <c r="L56" s="28" t="str">
        <f t="shared" si="34"/>
        <v/>
      </c>
      <c r="M56" s="9">
        <f t="shared" si="45"/>
        <v>45794</v>
      </c>
      <c r="N56" s="10" t="str">
        <f t="shared" si="35"/>
        <v>土</v>
      </c>
      <c r="O56" s="62" t="str">
        <f>IF(AND(M56&gt;=VLOOKUP(M56,データ!$E$3:$G$9,1,TRUE),M56&lt;=VLOOKUP(M56,データ!$E$3:$G$9,2,TRUE)),VLOOKUP(M56,データ!$E$3:$G$9,3,TRUE),"")</f>
        <v>春　特別展</v>
      </c>
      <c r="P56" s="67" t="str">
        <f>IF(AND(M56&gt;=VLOOKUP(M56,データ!$E$14:$G$21,1,TRUE),M56&lt;=VLOOKUP(M56,データ!$E$14:$G$21,2,TRUE)),VLOOKUP(M56,データ!$E$14:$G$21,3,TRUE),"")</f>
        <v>テーマ展</v>
      </c>
      <c r="Q56" s="44" t="str">
        <f t="shared" si="40"/>
        <v>○</v>
      </c>
      <c r="R56" s="45"/>
      <c r="S56" s="10" t="str">
        <f t="shared" ref="S56:S57" si="63">IF(L56="閉","休",IF(O56="","",IF(O56="冬　特別展",IF(OR(N56="土",N56="日",I56=1),"○",""),"○")))</f>
        <v>○</v>
      </c>
      <c r="T56" s="45"/>
      <c r="U56" s="33" t="str">
        <f t="shared" si="61"/>
        <v>●</v>
      </c>
      <c r="V56" s="32"/>
      <c r="W56" s="33" t="str">
        <f t="shared" ref="W56:W57" si="64">IF(L56="閉","休",IF(O56="","",IF(OR(N56="土",N56="日",I56=1),IF(OR(O56="ダミー　特別展",O56="ダミー　特別展"),"◎",IF(OR(O56="夏　特別展",O56="秋　特別展",O56="春　特別展"),"◎","")),"")))</f>
        <v>◎</v>
      </c>
      <c r="X56" s="8"/>
      <c r="Y56" s="33" t="str">
        <f t="shared" si="36"/>
        <v>○</v>
      </c>
      <c r="Z56" s="8">
        <f>IF(L56="閉","",(IF(AND(M56&gt;=VLOOKUP(M56,データ!$E$3:$G$9,1,TRUE),M56&lt;=VLOOKUP(M56,データ!$E$3:$G$9,2,TRUE)),VLOOKUP(M56,データ!$E$3:$H$9,4,TRUE),0)+IF(AND(M56&gt;=VLOOKUP(M56,データ!$E$14:$G$21,1,TRUE),M56&lt;=VLOOKUP(M56,データ!$E$14:$G$21,2,TRUE)),VLOOKUP(M56,データ!$E$14:$H$21,4,TRUE),0)))</f>
        <v>5</v>
      </c>
      <c r="AA56" s="33" t="str">
        <f t="shared" si="37"/>
        <v>○</v>
      </c>
      <c r="AB56" s="227">
        <f t="shared" si="38"/>
        <v>0.41666666666666669</v>
      </c>
      <c r="AC56" s="227">
        <f t="shared" si="39"/>
        <v>0.70833333333333337</v>
      </c>
      <c r="AD56" s="228" t="str">
        <f>IF(K56=1,IF(ISERROR(VLOOKUP(M56,データ!$A$3:$C$23,2,FALSE)),"",VLOOKUP(M56,データ!$A$3:$C$23,2,FALSE)),(IF(ISERROR(VLOOKUP(M56,データ!$A$3:$C$23,2,FALSE)),"",VLOOKUP(M56,データ!$A$3:$C$23,2,FALSE))))</f>
        <v/>
      </c>
    </row>
    <row r="57" spans="1:30">
      <c r="A57" s="1">
        <f>IF(AND(M57&gt;=VLOOKUP(M57,データ!$K$3:$O$6,1,TRUE),M57&lt;=VLOOKUP(M57,データ!$K$3:$O$6,2,TRUE)),VLOOKUP(M57,データ!$K$3:$O$6,5,TRUE),"")</f>
        <v>1</v>
      </c>
      <c r="B57" s="74">
        <f>IF(AND(M57&gt;=VLOOKUP(M57,データ!$K$3:$O$6,1,TRUE),M57&lt;=VLOOKUP(M57,データ!$K$3:$O$6,2,TRUE)),VLOOKUP(M57,データ!$K$3:$O$6,3,TRUE),"")</f>
        <v>0.41666666666666669</v>
      </c>
      <c r="C57" s="1">
        <f>IF(AND(M57&gt;=VLOOKUP(M57,データ!$K$11:$O$16,1,TRUE),M57&lt;=VLOOKUP(M57,データ!$K$11:$O$16,2,TRUE)),VLOOKUP(M57,データ!$K$11:$O$16,5,TRUE),0)</f>
        <v>0</v>
      </c>
      <c r="D57" s="74" t="str">
        <f>IF(AND(M57&gt;=VLOOKUP(M57,データ!$K$11:$O$16,1,TRUE),M57&lt;=VLOOKUP(M57,データ!$K$11:$O$16,2,TRUE)),VLOOKUP(M57,データ!$K$11:$O$16,3,TRUE),"")</f>
        <v/>
      </c>
      <c r="E57" s="74">
        <f t="shared" si="48"/>
        <v>0.41666666666666669</v>
      </c>
      <c r="F57" s="75">
        <f>VLOOKUP(E57,データ!$K$20:$O$24,5,FALSE)</f>
        <v>0</v>
      </c>
      <c r="G57" s="74">
        <f>IF(AND(M57&gt;=VLOOKUP(M57,データ!$K$3:$O$6,1,TRUE),M57&lt;=VLOOKUP(M57,データ!$K$3:$O$6,2,TRUE)),VLOOKUP(M57,データ!$K$3:$O$6,4,TRUE),"")</f>
        <v>0.70833333333333337</v>
      </c>
      <c r="H57" s="256">
        <f>INDEX(データ!L$21:N$24,MATCH(配置表!E57,データ!K$21:K$24,0),MATCH(配置表!G57,データ!L$20:N$20,0))</f>
        <v>1</v>
      </c>
      <c r="I57" s="52" t="str">
        <f>IF(ISERROR(VLOOKUP(M57,データ!$A$3:$C$20,3,FALSE)),"",VLOOKUP(M57,データ!$A$3:$C$20,3,FALSE))</f>
        <v/>
      </c>
      <c r="J57" s="52" t="str">
        <f t="shared" si="49"/>
        <v/>
      </c>
      <c r="K57" s="53">
        <f t="shared" si="44"/>
        <v>0</v>
      </c>
      <c r="L57" s="28" t="str">
        <f t="shared" si="34"/>
        <v/>
      </c>
      <c r="M57" s="9">
        <f t="shared" si="45"/>
        <v>45795</v>
      </c>
      <c r="N57" s="10" t="str">
        <f t="shared" si="35"/>
        <v>日</v>
      </c>
      <c r="O57" s="62" t="str">
        <f>IF(AND(M57&gt;=VLOOKUP(M57,データ!$E$3:$G$9,1,TRUE),M57&lt;=VLOOKUP(M57,データ!$E$3:$G$9,2,TRUE)),VLOOKUP(M57,データ!$E$3:$G$9,3,TRUE),"")</f>
        <v>春　特別展</v>
      </c>
      <c r="P57" s="67" t="str">
        <f>IF(AND(M57&gt;=VLOOKUP(M57,データ!$E$14:$G$21,1,TRUE),M57&lt;=VLOOKUP(M57,データ!$E$14:$G$21,2,TRUE)),VLOOKUP(M57,データ!$E$14:$G$21,3,TRUE),"")</f>
        <v>テーマ展</v>
      </c>
      <c r="Q57" s="44" t="str">
        <f t="shared" si="40"/>
        <v>○</v>
      </c>
      <c r="R57" s="45"/>
      <c r="S57" s="10" t="str">
        <f t="shared" si="63"/>
        <v>○</v>
      </c>
      <c r="T57" s="45"/>
      <c r="U57" s="33" t="str">
        <f t="shared" si="61"/>
        <v>●</v>
      </c>
      <c r="V57" s="32"/>
      <c r="W57" s="33" t="str">
        <f t="shared" si="64"/>
        <v>◎</v>
      </c>
      <c r="X57" s="8"/>
      <c r="Y57" s="33" t="str">
        <f t="shared" si="36"/>
        <v>○</v>
      </c>
      <c r="Z57" s="8">
        <f>IF(L57="閉","",(IF(AND(M57&gt;=VLOOKUP(M57,データ!$E$3:$G$9,1,TRUE),M57&lt;=VLOOKUP(M57,データ!$E$3:$G$9,2,TRUE)),VLOOKUP(M57,データ!$E$3:$H$9,4,TRUE),0)+IF(AND(M57&gt;=VLOOKUP(M57,データ!$E$14:$G$21,1,TRUE),M57&lt;=VLOOKUP(M57,データ!$E$14:$G$21,2,TRUE)),VLOOKUP(M57,データ!$E$14:$H$21,4,TRUE),0)))</f>
        <v>5</v>
      </c>
      <c r="AA57" s="33" t="str">
        <f t="shared" si="37"/>
        <v>○</v>
      </c>
      <c r="AB57" s="227">
        <f t="shared" si="38"/>
        <v>0.41666666666666669</v>
      </c>
      <c r="AC57" s="227">
        <f t="shared" si="39"/>
        <v>0.70833333333333337</v>
      </c>
      <c r="AD57" s="228" t="str">
        <f>IF(K57=1,IF(ISERROR(VLOOKUP(M57,データ!$A$3:$C$23,2,FALSE)),"",VLOOKUP(M57,データ!$A$3:$C$23,2,FALSE)),(IF(ISERROR(VLOOKUP(M57,データ!$A$3:$C$23,2,FALSE)),"",VLOOKUP(M57,データ!$A$3:$C$23,2,FALSE))))</f>
        <v/>
      </c>
    </row>
    <row r="58" spans="1:30">
      <c r="A58" s="1">
        <f>IF(AND(M58&gt;=VLOOKUP(M58,データ!$K$3:$O$6,1,TRUE),M58&lt;=VLOOKUP(M58,データ!$K$3:$O$6,2,TRUE)),VLOOKUP(M58,データ!$K$3:$O$6,5,TRUE),"")</f>
        <v>1</v>
      </c>
      <c r="B58" s="74">
        <f>IF(AND(M58&gt;=VLOOKUP(M58,データ!$K$3:$O$6,1,TRUE),M58&lt;=VLOOKUP(M58,データ!$K$3:$O$6,2,TRUE)),VLOOKUP(M58,データ!$K$3:$O$6,3,TRUE),"")</f>
        <v>0.41666666666666669</v>
      </c>
      <c r="C58" s="1">
        <f>IF(AND(M58&gt;=VLOOKUP(M58,データ!$K$11:$O$16,1,TRUE),M58&lt;=VLOOKUP(M58,データ!$K$11:$O$16,2,TRUE)),VLOOKUP(M58,データ!$K$11:$O$16,5,TRUE),0)</f>
        <v>0</v>
      </c>
      <c r="D58" s="74" t="str">
        <f>IF(AND(M58&gt;=VLOOKUP(M58,データ!$K$11:$O$16,1,TRUE),M58&lt;=VLOOKUP(M58,データ!$K$11:$O$16,2,TRUE)),VLOOKUP(M58,データ!$K$11:$O$16,3,TRUE),"")</f>
        <v/>
      </c>
      <c r="E58" s="74">
        <f t="shared" si="48"/>
        <v>0.41666666666666669</v>
      </c>
      <c r="F58" s="75">
        <f>VLOOKUP(E58,データ!$K$20:$O$24,5,FALSE)</f>
        <v>0</v>
      </c>
      <c r="G58" s="74">
        <f>IF(AND(M58&gt;=VLOOKUP(M58,データ!$K$3:$O$6,1,TRUE),M58&lt;=VLOOKUP(M58,データ!$K$3:$O$6,2,TRUE)),VLOOKUP(M58,データ!$K$3:$O$6,4,TRUE),"")</f>
        <v>0.70833333333333337</v>
      </c>
      <c r="H58" s="256">
        <f>INDEX(データ!L$21:N$24,MATCH(配置表!E58,データ!K$21:K$24,0),MATCH(配置表!G58,データ!L$20:N$20,0))</f>
        <v>1</v>
      </c>
      <c r="I58" s="52" t="str">
        <f>IF(ISERROR(VLOOKUP(M58,データ!$A$3:$C$20,3,FALSE)),"",VLOOKUP(M58,データ!$A$3:$C$20,3,FALSE))</f>
        <v/>
      </c>
      <c r="J58" s="52">
        <f t="shared" si="49"/>
        <v>1</v>
      </c>
      <c r="K58" s="53">
        <f t="shared" si="44"/>
        <v>1</v>
      </c>
      <c r="L58" s="28" t="str">
        <f t="shared" si="34"/>
        <v>閉</v>
      </c>
      <c r="M58" s="9">
        <f t="shared" si="45"/>
        <v>45796</v>
      </c>
      <c r="N58" s="10" t="str">
        <f t="shared" si="35"/>
        <v>月</v>
      </c>
      <c r="O58" s="62" t="str">
        <f>IF(AND(M58&gt;=VLOOKUP(M58,データ!$E$3:$G$9,1,TRUE),M58&lt;=VLOOKUP(M58,データ!$E$3:$G$9,2,TRUE)),VLOOKUP(M58,データ!$E$3:$G$9,3,TRUE),"")</f>
        <v>春　特別展</v>
      </c>
      <c r="P58" s="67" t="str">
        <f>IF(AND(M58&gt;=VLOOKUP(M58,データ!$E$14:$G$21,1,TRUE),M58&lt;=VLOOKUP(M58,データ!$E$14:$G$21,2,TRUE)),VLOOKUP(M58,データ!$E$14:$G$21,3,TRUE),"")</f>
        <v>テーマ展</v>
      </c>
      <c r="Q58" s="44" t="str">
        <f t="shared" si="40"/>
        <v>休</v>
      </c>
      <c r="R58" s="8"/>
      <c r="S58" s="33" t="str">
        <f t="shared" si="46"/>
        <v>休</v>
      </c>
      <c r="T58" s="8"/>
      <c r="U58" s="33" t="str">
        <f t="shared" si="47"/>
        <v>休</v>
      </c>
      <c r="V58" s="8"/>
      <c r="W58" s="33" t="str">
        <f t="shared" si="53"/>
        <v>休</v>
      </c>
      <c r="X58" s="8"/>
      <c r="Y58" s="33" t="str">
        <f t="shared" si="36"/>
        <v>休</v>
      </c>
      <c r="Z58" s="8" t="str">
        <f>IF(L58="閉","",(IF(AND(M58&gt;=VLOOKUP(M58,データ!$E$3:$G$9,1,TRUE),M58&lt;=VLOOKUP(M58,データ!$E$3:$G$9,2,TRUE)),VLOOKUP(M58,データ!$E$3:$H$9,4,TRUE),0)+IF(AND(M58&gt;=VLOOKUP(M58,データ!$E$14:$G$21,1,TRUE),M58&lt;=VLOOKUP(M58,データ!$E$14:$G$21,2,TRUE)),VLOOKUP(M58,データ!$E$14:$H$21,4,TRUE),0)))</f>
        <v/>
      </c>
      <c r="AA58" s="33" t="str">
        <f t="shared" si="37"/>
        <v>休</v>
      </c>
      <c r="AB58" s="227" t="str">
        <f t="shared" si="38"/>
        <v/>
      </c>
      <c r="AC58" s="227" t="str">
        <f t="shared" si="39"/>
        <v/>
      </c>
      <c r="AD58" s="228" t="str">
        <f>IF(K58=1,IF(ISERROR(VLOOKUP(M58,データ!$A$3:$C$23,2,FALSE)),"",VLOOKUP(M58,データ!$A$3:$C$23,2,FALSE)),(IF(ISERROR(VLOOKUP(M58,データ!$A$3:$C$23,2,FALSE)),"",VLOOKUP(M58,データ!$A$3:$C$23,2,FALSE))))</f>
        <v/>
      </c>
    </row>
    <row r="59" spans="1:30">
      <c r="A59" s="1">
        <f>IF(AND(M59&gt;=VLOOKUP(M59,データ!$K$3:$O$6,1,TRUE),M59&lt;=VLOOKUP(M59,データ!$K$3:$O$6,2,TRUE)),VLOOKUP(M59,データ!$K$3:$O$6,5,TRUE),"")</f>
        <v>1</v>
      </c>
      <c r="B59" s="74">
        <f>IF(AND(M59&gt;=VLOOKUP(M59,データ!$K$3:$O$6,1,TRUE),M59&lt;=VLOOKUP(M59,データ!$K$3:$O$6,2,TRUE)),VLOOKUP(M59,データ!$K$3:$O$6,3,TRUE),"")</f>
        <v>0.41666666666666669</v>
      </c>
      <c r="C59" s="1">
        <f>IF(AND(M59&gt;=VLOOKUP(M59,データ!$K$11:$O$16,1,TRUE),M59&lt;=VLOOKUP(M59,データ!$K$11:$O$16,2,TRUE)),VLOOKUP(M59,データ!$K$11:$O$16,5,TRUE),0)</f>
        <v>0</v>
      </c>
      <c r="D59" s="74" t="str">
        <f>IF(AND(M59&gt;=VLOOKUP(M59,データ!$K$11:$O$16,1,TRUE),M59&lt;=VLOOKUP(M59,データ!$K$11:$O$16,2,TRUE)),VLOOKUP(M59,データ!$K$11:$O$16,3,TRUE),"")</f>
        <v/>
      </c>
      <c r="E59" s="74">
        <f t="shared" si="48"/>
        <v>0.41666666666666669</v>
      </c>
      <c r="F59" s="75">
        <f>VLOOKUP(E59,データ!$K$20:$O$24,5,FALSE)</f>
        <v>0</v>
      </c>
      <c r="G59" s="74">
        <f>IF(AND(M59&gt;=VLOOKUP(M59,データ!$K$3:$O$6,1,TRUE),M59&lt;=VLOOKUP(M59,データ!$K$3:$O$6,2,TRUE)),VLOOKUP(M59,データ!$K$3:$O$6,4,TRUE),"")</f>
        <v>0.70833333333333337</v>
      </c>
      <c r="H59" s="256">
        <f>INDEX(データ!L$21:N$24,MATCH(配置表!E59,データ!K$21:K$24,0),MATCH(配置表!G59,データ!L$20:N$20,0))</f>
        <v>1</v>
      </c>
      <c r="I59" s="52" t="str">
        <f>IF(ISERROR(VLOOKUP(M59,データ!$A$3:$C$20,3,FALSE)),"",VLOOKUP(M59,データ!$A$3:$C$20,3,FALSE))</f>
        <v/>
      </c>
      <c r="J59" s="52" t="str">
        <f t="shared" si="49"/>
        <v/>
      </c>
      <c r="K59" s="53">
        <f t="shared" si="44"/>
        <v>0</v>
      </c>
      <c r="L59" s="28" t="str">
        <f t="shared" si="34"/>
        <v/>
      </c>
      <c r="M59" s="9">
        <f t="shared" si="45"/>
        <v>45797</v>
      </c>
      <c r="N59" s="10" t="str">
        <f t="shared" si="35"/>
        <v>火</v>
      </c>
      <c r="O59" s="62" t="str">
        <f>IF(AND(M59&gt;=VLOOKUP(M59,データ!$E$3:$G$9,1,TRUE),M59&lt;=VLOOKUP(M59,データ!$E$3:$G$9,2,TRUE)),VLOOKUP(M59,データ!$E$3:$G$9,3,TRUE),"")</f>
        <v>春　特別展</v>
      </c>
      <c r="P59" s="67" t="str">
        <f>IF(AND(M59&gt;=VLOOKUP(M59,データ!$E$14:$G$21,1,TRUE),M59&lt;=VLOOKUP(M59,データ!$E$14:$G$21,2,TRUE)),VLOOKUP(M59,データ!$E$14:$G$21,3,TRUE),"")</f>
        <v>テーマ展</v>
      </c>
      <c r="Q59" s="44" t="str">
        <f t="shared" si="40"/>
        <v>○</v>
      </c>
      <c r="R59" s="45"/>
      <c r="S59" s="33" t="str">
        <f t="shared" ref="S59:S62" si="65">IF(H59="閉","休",IF(K59="","",IF(OR(J59="土",J59="日",E59=1),IF(OR(K59="ダミー　特別展",K59="ダミー　特別展"),"◎",IF(OR(K59="夏　特別展",K59="秋　特別展",K59="春　特別展"),"○","")),"")))</f>
        <v/>
      </c>
      <c r="T59" s="45"/>
      <c r="U59" s="33" t="str">
        <f t="shared" ref="U59:U64" si="66">IF(L59="閉","休",IF(S59="","●","●"))</f>
        <v>●</v>
      </c>
      <c r="V59" s="32"/>
      <c r="W59" s="33" t="str">
        <f t="shared" ref="W59:W62" si="67">IF(P59="閉","休",IF(O59="","",IF(O59="冬　特別展",IF(OR(N59="土",N59="日",M59=1),"○",""),"○")))</f>
        <v>○</v>
      </c>
      <c r="X59" s="8"/>
      <c r="Y59" s="33" t="str">
        <f t="shared" si="36"/>
        <v>○</v>
      </c>
      <c r="Z59" s="8">
        <f>IF(L59="閉","",(IF(AND(M59&gt;=VLOOKUP(M59,データ!$E$3:$G$9,1,TRUE),M59&lt;=VLOOKUP(M59,データ!$E$3:$G$9,2,TRUE)),VLOOKUP(M59,データ!$E$3:$H$9,4,TRUE),0)+IF(AND(M59&gt;=VLOOKUP(M59,データ!$E$14:$G$21,1,TRUE),M59&lt;=VLOOKUP(M59,データ!$E$14:$G$21,2,TRUE)),VLOOKUP(M59,データ!$E$14:$H$21,4,TRUE),0)))</f>
        <v>5</v>
      </c>
      <c r="AA59" s="33" t="str">
        <f t="shared" si="37"/>
        <v>○</v>
      </c>
      <c r="AB59" s="227">
        <f t="shared" si="38"/>
        <v>0.41666666666666669</v>
      </c>
      <c r="AC59" s="227">
        <f t="shared" si="39"/>
        <v>0.70833333333333337</v>
      </c>
      <c r="AD59" s="228" t="str">
        <f>IF(K59=1,IF(ISERROR(VLOOKUP(M59,データ!$A$3:$C$23,2,FALSE)),"",VLOOKUP(M59,データ!$A$3:$C$23,2,FALSE)),(IF(ISERROR(VLOOKUP(M59,データ!$A$3:$C$23,2,FALSE)),"",VLOOKUP(M59,データ!$A$3:$C$23,2,FALSE))))</f>
        <v/>
      </c>
    </row>
    <row r="60" spans="1:30">
      <c r="A60" s="1">
        <f>IF(AND(M60&gt;=VLOOKUP(M60,データ!$K$3:$O$6,1,TRUE),M60&lt;=VLOOKUP(M60,データ!$K$3:$O$6,2,TRUE)),VLOOKUP(M60,データ!$K$3:$O$6,5,TRUE),"")</f>
        <v>1</v>
      </c>
      <c r="B60" s="74">
        <f>IF(AND(M60&gt;=VLOOKUP(M60,データ!$K$3:$O$6,1,TRUE),M60&lt;=VLOOKUP(M60,データ!$K$3:$O$6,2,TRUE)),VLOOKUP(M60,データ!$K$3:$O$6,3,TRUE),"")</f>
        <v>0.41666666666666669</v>
      </c>
      <c r="C60" s="1">
        <f>IF(AND(M60&gt;=VLOOKUP(M60,データ!$K$11:$O$16,1,TRUE),M60&lt;=VLOOKUP(M60,データ!$K$11:$O$16,2,TRUE)),VLOOKUP(M60,データ!$K$11:$O$16,5,TRUE),0)</f>
        <v>0</v>
      </c>
      <c r="D60" s="74" t="str">
        <f>IF(AND(M60&gt;=VLOOKUP(M60,データ!$K$11:$O$16,1,TRUE),M60&lt;=VLOOKUP(M60,データ!$K$11:$O$16,2,TRUE)),VLOOKUP(M60,データ!$K$11:$O$16,3,TRUE),"")</f>
        <v/>
      </c>
      <c r="E60" s="74">
        <f t="shared" si="48"/>
        <v>0.41666666666666669</v>
      </c>
      <c r="F60" s="75">
        <f>VLOOKUP(E60,データ!$K$20:$O$24,5,FALSE)</f>
        <v>0</v>
      </c>
      <c r="G60" s="74">
        <f>IF(AND(M60&gt;=VLOOKUP(M60,データ!$K$3:$O$6,1,TRUE),M60&lt;=VLOOKUP(M60,データ!$K$3:$O$6,2,TRUE)),VLOOKUP(M60,データ!$K$3:$O$6,4,TRUE),"")</f>
        <v>0.70833333333333337</v>
      </c>
      <c r="H60" s="256">
        <f>INDEX(データ!L$21:N$24,MATCH(配置表!E60,データ!K$21:K$24,0),MATCH(配置表!G60,データ!L$20:N$20,0))</f>
        <v>1</v>
      </c>
      <c r="I60" s="52" t="str">
        <f>IF(ISERROR(VLOOKUP(M60,データ!$A$3:$C$20,3,FALSE)),"",VLOOKUP(M60,データ!$A$3:$C$20,3,FALSE))</f>
        <v/>
      </c>
      <c r="J60" s="52" t="str">
        <f t="shared" si="49"/>
        <v/>
      </c>
      <c r="K60" s="53">
        <f t="shared" si="44"/>
        <v>0</v>
      </c>
      <c r="L60" s="28" t="str">
        <f t="shared" si="34"/>
        <v/>
      </c>
      <c r="M60" s="9">
        <f t="shared" si="45"/>
        <v>45798</v>
      </c>
      <c r="N60" s="10" t="str">
        <f t="shared" si="35"/>
        <v>水</v>
      </c>
      <c r="O60" s="62" t="str">
        <f>IF(AND(M60&gt;=VLOOKUP(M60,データ!$E$3:$G$9,1,TRUE),M60&lt;=VLOOKUP(M60,データ!$E$3:$G$9,2,TRUE)),VLOOKUP(M60,データ!$E$3:$G$9,3,TRUE),"")</f>
        <v>春　特別展</v>
      </c>
      <c r="P60" s="67" t="str">
        <f>IF(AND(M60&gt;=VLOOKUP(M60,データ!$E$14:$G$21,1,TRUE),M60&lt;=VLOOKUP(M60,データ!$E$14:$G$21,2,TRUE)),VLOOKUP(M60,データ!$E$14:$G$21,3,TRUE),"")</f>
        <v>テーマ展</v>
      </c>
      <c r="Q60" s="44" t="str">
        <f t="shared" si="40"/>
        <v>○</v>
      </c>
      <c r="R60" s="45"/>
      <c r="S60" s="33" t="str">
        <f t="shared" si="65"/>
        <v/>
      </c>
      <c r="T60" s="45"/>
      <c r="U60" s="33" t="str">
        <f t="shared" si="66"/>
        <v>●</v>
      </c>
      <c r="V60" s="32"/>
      <c r="W60" s="33" t="str">
        <f t="shared" si="67"/>
        <v>○</v>
      </c>
      <c r="X60" s="8"/>
      <c r="Y60" s="33" t="str">
        <f t="shared" si="36"/>
        <v>○</v>
      </c>
      <c r="Z60" s="8">
        <f>IF(L60="閉","",(IF(AND(M60&gt;=VLOOKUP(M60,データ!$E$3:$G$9,1,TRUE),M60&lt;=VLOOKUP(M60,データ!$E$3:$G$9,2,TRUE)),VLOOKUP(M60,データ!$E$3:$H$9,4,TRUE),0)+IF(AND(M60&gt;=VLOOKUP(M60,データ!$E$14:$G$21,1,TRUE),M60&lt;=VLOOKUP(M60,データ!$E$14:$G$21,2,TRUE)),VLOOKUP(M60,データ!$E$14:$H$21,4,TRUE),0)))</f>
        <v>5</v>
      </c>
      <c r="AA60" s="33" t="str">
        <f t="shared" si="37"/>
        <v>○</v>
      </c>
      <c r="AB60" s="227">
        <f t="shared" si="38"/>
        <v>0.41666666666666669</v>
      </c>
      <c r="AC60" s="227">
        <f t="shared" si="39"/>
        <v>0.70833333333333337</v>
      </c>
      <c r="AD60" s="228" t="str">
        <f>IF(K60=1,IF(ISERROR(VLOOKUP(M60,データ!$A$3:$C$23,2,FALSE)),"",VLOOKUP(M60,データ!$A$3:$C$23,2,FALSE)),(IF(ISERROR(VLOOKUP(M60,データ!$A$3:$C$23,2,FALSE)),"",VLOOKUP(M60,データ!$A$3:$C$23,2,FALSE))))</f>
        <v/>
      </c>
    </row>
    <row r="61" spans="1:30">
      <c r="A61" s="1">
        <f>IF(AND(M61&gt;=VLOOKUP(M61,データ!$K$3:$O$6,1,TRUE),M61&lt;=VLOOKUP(M61,データ!$K$3:$O$6,2,TRUE)),VLOOKUP(M61,データ!$K$3:$O$6,5,TRUE),"")</f>
        <v>1</v>
      </c>
      <c r="B61" s="74">
        <f>IF(AND(M61&gt;=VLOOKUP(M61,データ!$K$3:$O$6,1,TRUE),M61&lt;=VLOOKUP(M61,データ!$K$3:$O$6,2,TRUE)),VLOOKUP(M61,データ!$K$3:$O$6,3,TRUE),"")</f>
        <v>0.41666666666666669</v>
      </c>
      <c r="C61" s="1">
        <f>IF(AND(M61&gt;=VLOOKUP(M61,データ!$K$11:$O$16,1,TRUE),M61&lt;=VLOOKUP(M61,データ!$K$11:$O$16,2,TRUE)),VLOOKUP(M61,データ!$K$11:$O$16,5,TRUE),0)</f>
        <v>0</v>
      </c>
      <c r="D61" s="74" t="str">
        <f>IF(AND(M61&gt;=VLOOKUP(M61,データ!$K$11:$O$16,1,TRUE),M61&lt;=VLOOKUP(M61,データ!$K$11:$O$16,2,TRUE)),VLOOKUP(M61,データ!$K$11:$O$16,3,TRUE),"")</f>
        <v/>
      </c>
      <c r="E61" s="74">
        <f t="shared" si="48"/>
        <v>0.41666666666666669</v>
      </c>
      <c r="F61" s="75">
        <f>VLOOKUP(E61,データ!$K$20:$O$24,5,FALSE)</f>
        <v>0</v>
      </c>
      <c r="G61" s="74">
        <f>IF(AND(M61&gt;=VLOOKUP(M61,データ!$K$3:$O$6,1,TRUE),M61&lt;=VLOOKUP(M61,データ!$K$3:$O$6,2,TRUE)),VLOOKUP(M61,データ!$K$3:$O$6,4,TRUE),"")</f>
        <v>0.70833333333333337</v>
      </c>
      <c r="H61" s="256">
        <f>INDEX(データ!L$21:N$24,MATCH(配置表!E61,データ!K$21:K$24,0),MATCH(配置表!G61,データ!L$20:N$20,0))</f>
        <v>1</v>
      </c>
      <c r="I61" s="52" t="str">
        <f>IF(ISERROR(VLOOKUP(M61,データ!$A$3:$C$20,3,FALSE)),"",VLOOKUP(M61,データ!$A$3:$C$20,3,FALSE))</f>
        <v/>
      </c>
      <c r="J61" s="52" t="str">
        <f t="shared" si="49"/>
        <v/>
      </c>
      <c r="K61" s="53">
        <f t="shared" si="44"/>
        <v>0</v>
      </c>
      <c r="L61" s="28" t="str">
        <f t="shared" si="34"/>
        <v/>
      </c>
      <c r="M61" s="9">
        <f t="shared" si="45"/>
        <v>45799</v>
      </c>
      <c r="N61" s="10" t="str">
        <f t="shared" si="35"/>
        <v>木</v>
      </c>
      <c r="O61" s="62" t="str">
        <f>IF(AND(M61&gt;=VLOOKUP(M61,データ!$E$3:$G$9,1,TRUE),M61&lt;=VLOOKUP(M61,データ!$E$3:$G$9,2,TRUE)),VLOOKUP(M61,データ!$E$3:$G$9,3,TRUE),"")</f>
        <v>春　特別展</v>
      </c>
      <c r="P61" s="67" t="str">
        <f>IF(AND(M61&gt;=VLOOKUP(M61,データ!$E$14:$G$21,1,TRUE),M61&lt;=VLOOKUP(M61,データ!$E$14:$G$21,2,TRUE)),VLOOKUP(M61,データ!$E$14:$G$21,3,TRUE),"")</f>
        <v>テーマ展</v>
      </c>
      <c r="Q61" s="44" t="str">
        <f t="shared" si="40"/>
        <v>○</v>
      </c>
      <c r="R61" s="45"/>
      <c r="S61" s="33" t="str">
        <f t="shared" si="65"/>
        <v/>
      </c>
      <c r="T61" s="45"/>
      <c r="U61" s="33" t="str">
        <f t="shared" si="66"/>
        <v>●</v>
      </c>
      <c r="V61" s="32"/>
      <c r="W61" s="33" t="str">
        <f t="shared" si="67"/>
        <v>○</v>
      </c>
      <c r="X61" s="8"/>
      <c r="Y61" s="33" t="str">
        <f t="shared" si="36"/>
        <v>○</v>
      </c>
      <c r="Z61" s="8">
        <f>IF(L61="閉","",(IF(AND(M61&gt;=VLOOKUP(M61,データ!$E$3:$G$9,1,TRUE),M61&lt;=VLOOKUP(M61,データ!$E$3:$G$9,2,TRUE)),VLOOKUP(M61,データ!$E$3:$H$9,4,TRUE),0)+IF(AND(M61&gt;=VLOOKUP(M61,データ!$E$14:$G$21,1,TRUE),M61&lt;=VLOOKUP(M61,データ!$E$14:$G$21,2,TRUE)),VLOOKUP(M61,データ!$E$14:$H$21,4,TRUE),0)))</f>
        <v>5</v>
      </c>
      <c r="AA61" s="33" t="str">
        <f t="shared" si="37"/>
        <v>○</v>
      </c>
      <c r="AB61" s="227">
        <f t="shared" si="38"/>
        <v>0.41666666666666669</v>
      </c>
      <c r="AC61" s="227">
        <f t="shared" si="39"/>
        <v>0.70833333333333337</v>
      </c>
      <c r="AD61" s="228" t="str">
        <f>IF(K61=1,IF(ISERROR(VLOOKUP(M61,データ!$A$3:$C$23,2,FALSE)),"",VLOOKUP(M61,データ!$A$3:$C$23,2,FALSE)),(IF(ISERROR(VLOOKUP(M61,データ!$A$3:$C$23,2,FALSE)),"",VLOOKUP(M61,データ!$A$3:$C$23,2,FALSE))))</f>
        <v/>
      </c>
    </row>
    <row r="62" spans="1:30">
      <c r="A62" s="1">
        <f>IF(AND(M62&gt;=VLOOKUP(M62,データ!$K$3:$O$6,1,TRUE),M62&lt;=VLOOKUP(M62,データ!$K$3:$O$6,2,TRUE)),VLOOKUP(M62,データ!$K$3:$O$6,5,TRUE),"")</f>
        <v>1</v>
      </c>
      <c r="B62" s="74">
        <f>IF(AND(M62&gt;=VLOOKUP(M62,データ!$K$3:$O$6,1,TRUE),M62&lt;=VLOOKUP(M62,データ!$K$3:$O$6,2,TRUE)),VLOOKUP(M62,データ!$K$3:$O$6,3,TRUE),"")</f>
        <v>0.41666666666666669</v>
      </c>
      <c r="C62" s="1">
        <f>IF(AND(M62&gt;=VLOOKUP(M62,データ!$K$11:$O$16,1,TRUE),M62&lt;=VLOOKUP(M62,データ!$K$11:$O$16,2,TRUE)),VLOOKUP(M62,データ!$K$11:$O$16,5,TRUE),0)</f>
        <v>0</v>
      </c>
      <c r="D62" s="74" t="str">
        <f>IF(AND(M62&gt;=VLOOKUP(M62,データ!$K$11:$O$16,1,TRUE),M62&lt;=VLOOKUP(M62,データ!$K$11:$O$16,2,TRUE)),VLOOKUP(M62,データ!$K$11:$O$16,3,TRUE),"")</f>
        <v/>
      </c>
      <c r="E62" s="74">
        <f t="shared" si="48"/>
        <v>0.41666666666666669</v>
      </c>
      <c r="F62" s="75">
        <f>VLOOKUP(E62,データ!$K$20:$O$24,5,FALSE)</f>
        <v>0</v>
      </c>
      <c r="G62" s="74">
        <f>IF(AND(M62&gt;=VLOOKUP(M62,データ!$K$3:$O$6,1,TRUE),M62&lt;=VLOOKUP(M62,データ!$K$3:$O$6,2,TRUE)),VLOOKUP(M62,データ!$K$3:$O$6,4,TRUE),"")</f>
        <v>0.70833333333333337</v>
      </c>
      <c r="H62" s="256">
        <f>INDEX(データ!L$21:N$24,MATCH(配置表!E62,データ!K$21:K$24,0),MATCH(配置表!G62,データ!L$20:N$20,0))</f>
        <v>1</v>
      </c>
      <c r="I62" s="52" t="str">
        <f>IF(ISERROR(VLOOKUP(M62,データ!$A$3:$C$20,3,FALSE)),"",VLOOKUP(M62,データ!$A$3:$C$20,3,FALSE))</f>
        <v/>
      </c>
      <c r="J62" s="52" t="str">
        <f t="shared" si="49"/>
        <v/>
      </c>
      <c r="K62" s="53">
        <f t="shared" si="44"/>
        <v>0</v>
      </c>
      <c r="L62" s="28" t="str">
        <f t="shared" si="34"/>
        <v/>
      </c>
      <c r="M62" s="9">
        <f t="shared" si="45"/>
        <v>45800</v>
      </c>
      <c r="N62" s="10" t="str">
        <f t="shared" si="35"/>
        <v>金</v>
      </c>
      <c r="O62" s="62" t="str">
        <f>IF(AND(M62&gt;=VLOOKUP(M62,データ!$E$3:$G$9,1,TRUE),M62&lt;=VLOOKUP(M62,データ!$E$3:$G$9,2,TRUE)),VLOOKUP(M62,データ!$E$3:$G$9,3,TRUE),"")</f>
        <v>春　特別展</v>
      </c>
      <c r="P62" s="67" t="str">
        <f>IF(AND(M62&gt;=VLOOKUP(M62,データ!$E$14:$G$21,1,TRUE),M62&lt;=VLOOKUP(M62,データ!$E$14:$G$21,2,TRUE)),VLOOKUP(M62,データ!$E$14:$G$21,3,TRUE),"")</f>
        <v>テーマ展</v>
      </c>
      <c r="Q62" s="44" t="str">
        <f t="shared" si="40"/>
        <v>○</v>
      </c>
      <c r="R62" s="45"/>
      <c r="S62" s="33" t="str">
        <f t="shared" si="65"/>
        <v/>
      </c>
      <c r="T62" s="45"/>
      <c r="U62" s="33" t="str">
        <f t="shared" si="66"/>
        <v>●</v>
      </c>
      <c r="V62" s="32"/>
      <c r="W62" s="33" t="str">
        <f t="shared" si="67"/>
        <v>○</v>
      </c>
      <c r="X62" s="8"/>
      <c r="Y62" s="33" t="str">
        <f t="shared" si="36"/>
        <v>○</v>
      </c>
      <c r="Z62" s="8">
        <f>IF(L62="閉","",(IF(AND(M62&gt;=VLOOKUP(M62,データ!$E$3:$G$9,1,TRUE),M62&lt;=VLOOKUP(M62,データ!$E$3:$G$9,2,TRUE)),VLOOKUP(M62,データ!$E$3:$H$9,4,TRUE),0)+IF(AND(M62&gt;=VLOOKUP(M62,データ!$E$14:$G$21,1,TRUE),M62&lt;=VLOOKUP(M62,データ!$E$14:$G$21,2,TRUE)),VLOOKUP(M62,データ!$E$14:$H$21,4,TRUE),0)))</f>
        <v>5</v>
      </c>
      <c r="AA62" s="33" t="str">
        <f t="shared" si="37"/>
        <v>○</v>
      </c>
      <c r="AB62" s="227">
        <f t="shared" si="38"/>
        <v>0.41666666666666669</v>
      </c>
      <c r="AC62" s="227">
        <f t="shared" si="39"/>
        <v>0.70833333333333337</v>
      </c>
      <c r="AD62" s="228" t="str">
        <f>IF(K62=1,IF(ISERROR(VLOOKUP(M62,データ!$A$3:$C$23,2,FALSE)),"",VLOOKUP(M62,データ!$A$3:$C$23,2,FALSE)),(IF(ISERROR(VLOOKUP(M62,データ!$A$3:$C$23,2,FALSE)),"",VLOOKUP(M62,データ!$A$3:$C$23,2,FALSE))))</f>
        <v/>
      </c>
    </row>
    <row r="63" spans="1:30">
      <c r="A63" s="1">
        <f>IF(AND(M63&gt;=VLOOKUP(M63,データ!$K$3:$O$6,1,TRUE),M63&lt;=VLOOKUP(M63,データ!$K$3:$O$6,2,TRUE)),VLOOKUP(M63,データ!$K$3:$O$6,5,TRUE),"")</f>
        <v>1</v>
      </c>
      <c r="B63" s="74">
        <f>IF(AND(M63&gt;=VLOOKUP(M63,データ!$K$3:$O$6,1,TRUE),M63&lt;=VLOOKUP(M63,データ!$K$3:$O$6,2,TRUE)),VLOOKUP(M63,データ!$K$3:$O$6,3,TRUE),"")</f>
        <v>0.41666666666666669</v>
      </c>
      <c r="C63" s="1">
        <f>IF(AND(M63&gt;=VLOOKUP(M63,データ!$K$11:$O$16,1,TRUE),M63&lt;=VLOOKUP(M63,データ!$K$11:$O$16,2,TRUE)),VLOOKUP(M63,データ!$K$11:$O$16,5,TRUE),0)</f>
        <v>0</v>
      </c>
      <c r="D63" s="74" t="str">
        <f>IF(AND(M63&gt;=VLOOKUP(M63,データ!$K$11:$O$16,1,TRUE),M63&lt;=VLOOKUP(M63,データ!$K$11:$O$16,2,TRUE)),VLOOKUP(M63,データ!$K$11:$O$16,3,TRUE),"")</f>
        <v/>
      </c>
      <c r="E63" s="74">
        <f t="shared" si="48"/>
        <v>0.41666666666666669</v>
      </c>
      <c r="F63" s="75">
        <f>VLOOKUP(E63,データ!$K$20:$O$24,5,FALSE)</f>
        <v>0</v>
      </c>
      <c r="G63" s="74">
        <f>IF(AND(M63&gt;=VLOOKUP(M63,データ!$K$3:$O$6,1,TRUE),M63&lt;=VLOOKUP(M63,データ!$K$3:$O$6,2,TRUE)),VLOOKUP(M63,データ!$K$3:$O$6,4,TRUE),"")</f>
        <v>0.70833333333333337</v>
      </c>
      <c r="H63" s="256">
        <f>INDEX(データ!L$21:N$24,MATCH(配置表!E63,データ!K$21:K$24,0),MATCH(配置表!G63,データ!L$20:N$20,0))</f>
        <v>1</v>
      </c>
      <c r="I63" s="52" t="str">
        <f>IF(ISERROR(VLOOKUP(M63,データ!$A$3:$C$20,3,FALSE)),"",VLOOKUP(M63,データ!$A$3:$C$20,3,FALSE))</f>
        <v/>
      </c>
      <c r="J63" s="52" t="str">
        <f t="shared" si="49"/>
        <v/>
      </c>
      <c r="K63" s="53">
        <f t="shared" si="44"/>
        <v>0</v>
      </c>
      <c r="L63" s="28" t="str">
        <f t="shared" si="34"/>
        <v/>
      </c>
      <c r="M63" s="9">
        <f t="shared" si="45"/>
        <v>45801</v>
      </c>
      <c r="N63" s="10" t="str">
        <f t="shared" si="35"/>
        <v>土</v>
      </c>
      <c r="O63" s="62" t="str">
        <f>IF(AND(M63&gt;=VLOOKUP(M63,データ!$E$3:$G$9,1,TRUE),M63&lt;=VLOOKUP(M63,データ!$E$3:$G$9,2,TRUE)),VLOOKUP(M63,データ!$E$3:$G$9,3,TRUE),"")</f>
        <v>春　特別展</v>
      </c>
      <c r="P63" s="67" t="str">
        <f>IF(AND(M63&gt;=VLOOKUP(M63,データ!$E$14:$G$21,1,TRUE),M63&lt;=VLOOKUP(M63,データ!$E$14:$G$21,2,TRUE)),VLOOKUP(M63,データ!$E$14:$G$21,3,TRUE),"")</f>
        <v>テーマ展</v>
      </c>
      <c r="Q63" s="44" t="str">
        <f t="shared" si="40"/>
        <v>○</v>
      </c>
      <c r="R63" s="45"/>
      <c r="S63" s="10" t="str">
        <f t="shared" ref="S63:S64" si="68">IF(L63="閉","休",IF(O63="","",IF(O63="冬　特別展",IF(OR(N63="土",N63="日",I63=1),"○",""),"○")))</f>
        <v>○</v>
      </c>
      <c r="T63" s="45"/>
      <c r="U63" s="33" t="str">
        <f t="shared" si="66"/>
        <v>●</v>
      </c>
      <c r="V63" s="32"/>
      <c r="W63" s="33" t="str">
        <f t="shared" ref="W63:W64" si="69">IF(L63="閉","休",IF(O63="","",IF(OR(N63="土",N63="日",I63=1),IF(OR(O63="ダミー　特別展",O63="ダミー　特別展"),"◎",IF(OR(O63="夏　特別展",O63="秋　特別展",O63="春　特別展"),"◎","")),"")))</f>
        <v>◎</v>
      </c>
      <c r="X63" s="8"/>
      <c r="Y63" s="33" t="str">
        <f t="shared" si="36"/>
        <v>○</v>
      </c>
      <c r="Z63" s="8">
        <f>IF(L63="閉","",(IF(AND(M63&gt;=VLOOKUP(M63,データ!$E$3:$G$9,1,TRUE),M63&lt;=VLOOKUP(M63,データ!$E$3:$G$9,2,TRUE)),VLOOKUP(M63,データ!$E$3:$H$9,4,TRUE),0)+IF(AND(M63&gt;=VLOOKUP(M63,データ!$E$14:$G$21,1,TRUE),M63&lt;=VLOOKUP(M63,データ!$E$14:$G$21,2,TRUE)),VLOOKUP(M63,データ!$E$14:$H$21,4,TRUE),0)))</f>
        <v>5</v>
      </c>
      <c r="AA63" s="33" t="str">
        <f t="shared" si="37"/>
        <v>○</v>
      </c>
      <c r="AB63" s="227">
        <f t="shared" si="38"/>
        <v>0.41666666666666669</v>
      </c>
      <c r="AC63" s="227">
        <f t="shared" si="39"/>
        <v>0.70833333333333337</v>
      </c>
      <c r="AD63" s="228" t="str">
        <f>IF(K63=1,IF(ISERROR(VLOOKUP(M63,データ!$A$3:$C$23,2,FALSE)),"",VLOOKUP(M63,データ!$A$3:$C$23,2,FALSE)),(IF(ISERROR(VLOOKUP(M63,データ!$A$3:$C$23,2,FALSE)),"",VLOOKUP(M63,データ!$A$3:$C$23,2,FALSE))))</f>
        <v/>
      </c>
    </row>
    <row r="64" spans="1:30">
      <c r="A64" s="1">
        <f>IF(AND(M64&gt;=VLOOKUP(M64,データ!$K$3:$O$6,1,TRUE),M64&lt;=VLOOKUP(M64,データ!$K$3:$O$6,2,TRUE)),VLOOKUP(M64,データ!$K$3:$O$6,5,TRUE),"")</f>
        <v>1</v>
      </c>
      <c r="B64" s="74">
        <f>IF(AND(M64&gt;=VLOOKUP(M64,データ!$K$3:$O$6,1,TRUE),M64&lt;=VLOOKUP(M64,データ!$K$3:$O$6,2,TRUE)),VLOOKUP(M64,データ!$K$3:$O$6,3,TRUE),"")</f>
        <v>0.41666666666666669</v>
      </c>
      <c r="C64" s="1">
        <f>IF(AND(M64&gt;=VLOOKUP(M64,データ!$K$11:$O$16,1,TRUE),M64&lt;=VLOOKUP(M64,データ!$K$11:$O$16,2,TRUE)),VLOOKUP(M64,データ!$K$11:$O$16,5,TRUE),0)</f>
        <v>0</v>
      </c>
      <c r="D64" s="74" t="str">
        <f>IF(AND(M64&gt;=VLOOKUP(M64,データ!$K$11:$O$16,1,TRUE),M64&lt;=VLOOKUP(M64,データ!$K$11:$O$16,2,TRUE)),VLOOKUP(M64,データ!$K$11:$O$16,3,TRUE),"")</f>
        <v/>
      </c>
      <c r="E64" s="74">
        <f t="shared" si="48"/>
        <v>0.41666666666666669</v>
      </c>
      <c r="F64" s="75">
        <f>VLOOKUP(E64,データ!$K$20:$O$24,5,FALSE)</f>
        <v>0</v>
      </c>
      <c r="G64" s="74">
        <f>IF(AND(M64&gt;=VLOOKUP(M64,データ!$K$3:$O$6,1,TRUE),M64&lt;=VLOOKUP(M64,データ!$K$3:$O$6,2,TRUE)),VLOOKUP(M64,データ!$K$3:$O$6,4,TRUE),"")</f>
        <v>0.70833333333333337</v>
      </c>
      <c r="H64" s="256">
        <f>INDEX(データ!L$21:N$24,MATCH(配置表!E64,データ!K$21:K$24,0),MATCH(配置表!G64,データ!L$20:N$20,0))</f>
        <v>1</v>
      </c>
      <c r="I64" s="52" t="str">
        <f>IF(ISERROR(VLOOKUP(M64,データ!$A$3:$C$20,3,FALSE)),"",VLOOKUP(M64,データ!$A$3:$C$20,3,FALSE))</f>
        <v/>
      </c>
      <c r="J64" s="52" t="str">
        <f t="shared" si="49"/>
        <v/>
      </c>
      <c r="K64" s="53">
        <f t="shared" si="44"/>
        <v>0</v>
      </c>
      <c r="L64" s="28" t="str">
        <f t="shared" si="34"/>
        <v/>
      </c>
      <c r="M64" s="9">
        <f t="shared" si="45"/>
        <v>45802</v>
      </c>
      <c r="N64" s="10" t="str">
        <f t="shared" si="35"/>
        <v>日</v>
      </c>
      <c r="O64" s="62" t="str">
        <f>IF(AND(M64&gt;=VLOOKUP(M64,データ!$E$3:$G$9,1,TRUE),M64&lt;=VLOOKUP(M64,データ!$E$3:$G$9,2,TRUE)),VLOOKUP(M64,データ!$E$3:$G$9,3,TRUE),"")</f>
        <v>春　特別展</v>
      </c>
      <c r="P64" s="67" t="str">
        <f>IF(AND(M64&gt;=VLOOKUP(M64,データ!$E$14:$G$21,1,TRUE),M64&lt;=VLOOKUP(M64,データ!$E$14:$G$21,2,TRUE)),VLOOKUP(M64,データ!$E$14:$G$21,3,TRUE),"")</f>
        <v>テーマ展</v>
      </c>
      <c r="Q64" s="44" t="str">
        <f t="shared" si="40"/>
        <v>○</v>
      </c>
      <c r="R64" s="45"/>
      <c r="S64" s="10" t="str">
        <f t="shared" si="68"/>
        <v>○</v>
      </c>
      <c r="T64" s="45"/>
      <c r="U64" s="33" t="str">
        <f t="shared" si="66"/>
        <v>●</v>
      </c>
      <c r="V64" s="32"/>
      <c r="W64" s="33" t="str">
        <f t="shared" si="69"/>
        <v>◎</v>
      </c>
      <c r="X64" s="8"/>
      <c r="Y64" s="33" t="str">
        <f t="shared" si="36"/>
        <v>○</v>
      </c>
      <c r="Z64" s="8">
        <f>IF(L64="閉","",(IF(AND(M64&gt;=VLOOKUP(M64,データ!$E$3:$G$9,1,TRUE),M64&lt;=VLOOKUP(M64,データ!$E$3:$G$9,2,TRUE)),VLOOKUP(M64,データ!$E$3:$H$9,4,TRUE),0)+IF(AND(M64&gt;=VLOOKUP(M64,データ!$E$14:$G$21,1,TRUE),M64&lt;=VLOOKUP(M64,データ!$E$14:$G$21,2,TRUE)),VLOOKUP(M64,データ!$E$14:$H$21,4,TRUE),0)))</f>
        <v>5</v>
      </c>
      <c r="AA64" s="33" t="str">
        <f t="shared" si="37"/>
        <v>○</v>
      </c>
      <c r="AB64" s="227">
        <f t="shared" si="38"/>
        <v>0.41666666666666669</v>
      </c>
      <c r="AC64" s="227">
        <f t="shared" si="39"/>
        <v>0.70833333333333337</v>
      </c>
      <c r="AD64" s="228" t="str">
        <f>IF(K64=1,IF(ISERROR(VLOOKUP(M64,データ!$A$3:$C$23,2,FALSE)),"",VLOOKUP(M64,データ!$A$3:$C$23,2,FALSE)),(IF(ISERROR(VLOOKUP(M64,データ!$A$3:$C$23,2,FALSE)),"",VLOOKUP(M64,データ!$A$3:$C$23,2,FALSE))))</f>
        <v/>
      </c>
    </row>
    <row r="65" spans="1:30">
      <c r="A65" s="1">
        <f>IF(AND(M65&gt;=VLOOKUP(M65,データ!$K$3:$O$6,1,TRUE),M65&lt;=VLOOKUP(M65,データ!$K$3:$O$6,2,TRUE)),VLOOKUP(M65,データ!$K$3:$O$6,5,TRUE),"")</f>
        <v>1</v>
      </c>
      <c r="B65" s="74">
        <f>IF(AND(M65&gt;=VLOOKUP(M65,データ!$K$3:$O$6,1,TRUE),M65&lt;=VLOOKUP(M65,データ!$K$3:$O$6,2,TRUE)),VLOOKUP(M65,データ!$K$3:$O$6,3,TRUE),"")</f>
        <v>0.41666666666666669</v>
      </c>
      <c r="C65" s="1">
        <f>IF(AND(M65&gt;=VLOOKUP(M65,データ!$K$11:$O$16,1,TRUE),M65&lt;=VLOOKUP(M65,データ!$K$11:$O$16,2,TRUE)),VLOOKUP(M65,データ!$K$11:$O$16,5,TRUE),0)</f>
        <v>0</v>
      </c>
      <c r="D65" s="74" t="str">
        <f>IF(AND(M65&gt;=VLOOKUP(M65,データ!$K$11:$O$16,1,TRUE),M65&lt;=VLOOKUP(M65,データ!$K$11:$O$16,2,TRUE)),VLOOKUP(M65,データ!$K$11:$O$16,3,TRUE),"")</f>
        <v/>
      </c>
      <c r="E65" s="74">
        <f t="shared" si="48"/>
        <v>0.41666666666666669</v>
      </c>
      <c r="F65" s="75">
        <f>VLOOKUP(E65,データ!$K$20:$O$24,5,FALSE)</f>
        <v>0</v>
      </c>
      <c r="G65" s="74">
        <f>IF(AND(M65&gt;=VLOOKUP(M65,データ!$K$3:$O$6,1,TRUE),M65&lt;=VLOOKUP(M65,データ!$K$3:$O$6,2,TRUE)),VLOOKUP(M65,データ!$K$3:$O$6,4,TRUE),"")</f>
        <v>0.70833333333333337</v>
      </c>
      <c r="H65" s="256">
        <f>INDEX(データ!L$21:N$24,MATCH(配置表!E65,データ!K$21:K$24,0),MATCH(配置表!G65,データ!L$20:N$20,0))</f>
        <v>1</v>
      </c>
      <c r="I65" s="52" t="str">
        <f>IF(ISERROR(VLOOKUP(M65,データ!$A$3:$C$20,3,FALSE)),"",VLOOKUP(M65,データ!$A$3:$C$20,3,FALSE))</f>
        <v/>
      </c>
      <c r="J65" s="52">
        <f t="shared" si="49"/>
        <v>1</v>
      </c>
      <c r="K65" s="53">
        <f t="shared" si="44"/>
        <v>1</v>
      </c>
      <c r="L65" s="28" t="str">
        <f t="shared" si="34"/>
        <v>閉</v>
      </c>
      <c r="M65" s="9">
        <f t="shared" si="45"/>
        <v>45803</v>
      </c>
      <c r="N65" s="10" t="str">
        <f t="shared" si="35"/>
        <v>月</v>
      </c>
      <c r="O65" s="62" t="str">
        <f>IF(AND(M65&gt;=VLOOKUP(M65,データ!$E$3:$G$9,1,TRUE),M65&lt;=VLOOKUP(M65,データ!$E$3:$G$9,2,TRUE)),VLOOKUP(M65,データ!$E$3:$G$9,3,TRUE),"")</f>
        <v/>
      </c>
      <c r="P65" s="67" t="str">
        <f>IF(AND(M65&gt;=VLOOKUP(M65,データ!$E$14:$G$21,1,TRUE),M65&lt;=VLOOKUP(M65,データ!$E$14:$G$21,2,TRUE)),VLOOKUP(M65,データ!$E$14:$G$21,3,TRUE),"")</f>
        <v>テーマ展</v>
      </c>
      <c r="Q65" s="44" t="str">
        <f t="shared" ref="Q65" si="70">IF(L65="閉","休","●")</f>
        <v>休</v>
      </c>
      <c r="R65" s="8"/>
      <c r="S65" s="33" t="str">
        <f t="shared" si="46"/>
        <v>休</v>
      </c>
      <c r="T65" s="8"/>
      <c r="U65" s="33" t="str">
        <f t="shared" si="47"/>
        <v>休</v>
      </c>
      <c r="V65" s="8"/>
      <c r="W65" s="33" t="str">
        <f t="shared" si="53"/>
        <v>休</v>
      </c>
      <c r="X65" s="8"/>
      <c r="Y65" s="33" t="str">
        <f t="shared" si="36"/>
        <v>休</v>
      </c>
      <c r="Z65" s="8" t="str">
        <f>IF(L65="閉","",(IF(AND(M65&gt;=VLOOKUP(M65,データ!$E$3:$G$9,1,TRUE),M65&lt;=VLOOKUP(M65,データ!$E$3:$G$9,2,TRUE)),VLOOKUP(M65,データ!$E$3:$H$9,4,TRUE),0)+IF(AND(M65&gt;=VLOOKUP(M65,データ!$E$14:$G$21,1,TRUE),M65&lt;=VLOOKUP(M65,データ!$E$14:$G$21,2,TRUE)),VLOOKUP(M65,データ!$E$14:$H$21,4,TRUE),0)))</f>
        <v/>
      </c>
      <c r="AA65" s="33" t="str">
        <f t="shared" si="37"/>
        <v>休</v>
      </c>
      <c r="AB65" s="227" t="str">
        <f t="shared" si="38"/>
        <v/>
      </c>
      <c r="AC65" s="227" t="str">
        <f t="shared" si="39"/>
        <v/>
      </c>
      <c r="AD65" s="228" t="str">
        <f>IF(K65=1,IF(ISERROR(VLOOKUP(M65,データ!$A$3:$C$23,2,FALSE)),"",VLOOKUP(M65,データ!$A$3:$C$23,2,FALSE)),(IF(ISERROR(VLOOKUP(M65,データ!$A$3:$C$23,2,FALSE)),"",VLOOKUP(M65,データ!$A$3:$C$23,2,FALSE))))</f>
        <v/>
      </c>
    </row>
    <row r="66" spans="1:30">
      <c r="A66" s="1">
        <f>IF(AND(M66&gt;=VLOOKUP(M66,データ!$K$3:$O$6,1,TRUE),M66&lt;=VLOOKUP(M66,データ!$K$3:$O$6,2,TRUE)),VLOOKUP(M66,データ!$K$3:$O$6,5,TRUE),"")</f>
        <v>1</v>
      </c>
      <c r="B66" s="74">
        <f>IF(AND(M66&gt;=VLOOKUP(M66,データ!$K$3:$O$6,1,TRUE),M66&lt;=VLOOKUP(M66,データ!$K$3:$O$6,2,TRUE)),VLOOKUP(M66,データ!$K$3:$O$6,3,TRUE),"")</f>
        <v>0.41666666666666669</v>
      </c>
      <c r="C66" s="1">
        <f>IF(AND(M66&gt;=VLOOKUP(M66,データ!$K$11:$O$16,1,TRUE),M66&lt;=VLOOKUP(M66,データ!$K$11:$O$16,2,TRUE)),VLOOKUP(M66,データ!$K$11:$O$16,5,TRUE),0)</f>
        <v>0</v>
      </c>
      <c r="D66" s="74" t="str">
        <f>IF(AND(M66&gt;=VLOOKUP(M66,データ!$K$11:$O$16,1,TRUE),M66&lt;=VLOOKUP(M66,データ!$K$11:$O$16,2,TRUE)),VLOOKUP(M66,データ!$K$11:$O$16,3,TRUE),"")</f>
        <v/>
      </c>
      <c r="E66" s="74">
        <f t="shared" si="48"/>
        <v>0.41666666666666669</v>
      </c>
      <c r="F66" s="75">
        <f>VLOOKUP(E66,データ!$K$20:$O$24,5,FALSE)</f>
        <v>0</v>
      </c>
      <c r="G66" s="74">
        <f>IF(AND(M66&gt;=VLOOKUP(M66,データ!$K$3:$O$6,1,TRUE),M66&lt;=VLOOKUP(M66,データ!$K$3:$O$6,2,TRUE)),VLOOKUP(M66,データ!$K$3:$O$6,4,TRUE),"")</f>
        <v>0.70833333333333337</v>
      </c>
      <c r="H66" s="256">
        <f>INDEX(データ!L$21:N$24,MATCH(配置表!E66,データ!K$21:K$24,0),MATCH(配置表!G66,データ!L$20:N$20,0))</f>
        <v>1</v>
      </c>
      <c r="I66" s="52" t="str">
        <f>IF(ISERROR(VLOOKUP(M66,データ!$A$3:$C$20,3,FALSE)),"",VLOOKUP(M66,データ!$A$3:$C$20,3,FALSE))</f>
        <v/>
      </c>
      <c r="J66" s="52" t="str">
        <f t="shared" si="49"/>
        <v/>
      </c>
      <c r="K66" s="53">
        <f t="shared" si="44"/>
        <v>0</v>
      </c>
      <c r="L66" s="28" t="str">
        <f t="shared" si="34"/>
        <v/>
      </c>
      <c r="M66" s="9">
        <f t="shared" si="45"/>
        <v>45804</v>
      </c>
      <c r="N66" s="10" t="str">
        <f t="shared" si="35"/>
        <v>火</v>
      </c>
      <c r="O66" s="62" t="str">
        <f>IF(AND(M66&gt;=VLOOKUP(M66,データ!$E$3:$G$9,1,TRUE),M66&lt;=VLOOKUP(M66,データ!$E$3:$G$9,2,TRUE)),VLOOKUP(M66,データ!$E$3:$G$9,3,TRUE),"")</f>
        <v/>
      </c>
      <c r="P66" s="67" t="str">
        <f>IF(AND(M66&gt;=VLOOKUP(M66,データ!$E$14:$G$21,1,TRUE),M66&lt;=VLOOKUP(M66,データ!$E$14:$G$21,2,TRUE)),VLOOKUP(M66,データ!$E$14:$G$21,3,TRUE),"")</f>
        <v>テーマ展</v>
      </c>
      <c r="Q66" s="44" t="str">
        <f t="shared" ref="Q66:Q70" si="71">IF(L66="閉","休","○")</f>
        <v>○</v>
      </c>
      <c r="R66" s="45"/>
      <c r="S66" s="10" t="str">
        <f t="shared" si="46"/>
        <v/>
      </c>
      <c r="T66" s="45"/>
      <c r="U66" s="10" t="str">
        <f t="shared" si="47"/>
        <v>●</v>
      </c>
      <c r="V66" s="32"/>
      <c r="W66" s="33" t="str">
        <f t="shared" si="53"/>
        <v/>
      </c>
      <c r="X66" s="8"/>
      <c r="Y66" s="33" t="str">
        <f t="shared" si="36"/>
        <v>○</v>
      </c>
      <c r="Z66" s="8">
        <f>IF(L66="閉","",(IF(AND(M66&gt;=VLOOKUP(M66,データ!$E$3:$G$9,1,TRUE),M66&lt;=VLOOKUP(M66,データ!$E$3:$G$9,2,TRUE)),VLOOKUP(M66,データ!$E$3:$H$9,4,TRUE),0)+IF(AND(M66&gt;=VLOOKUP(M66,データ!$E$14:$G$21,1,TRUE),M66&lt;=VLOOKUP(M66,データ!$E$14:$G$21,2,TRUE)),VLOOKUP(M66,データ!$E$14:$H$21,4,TRUE),0)))</f>
        <v>1</v>
      </c>
      <c r="AA66" s="33" t="str">
        <f t="shared" si="37"/>
        <v>△</v>
      </c>
      <c r="AB66" s="227">
        <f t="shared" si="38"/>
        <v>0.41666666666666669</v>
      </c>
      <c r="AC66" s="227">
        <f t="shared" si="39"/>
        <v>0.70833333333333337</v>
      </c>
      <c r="AD66" s="228" t="str">
        <f>IF(K66=1,IF(ISERROR(VLOOKUP(M66,データ!$A$3:$C$23,2,FALSE)),"",VLOOKUP(M66,データ!$A$3:$C$23,2,FALSE)),(IF(ISERROR(VLOOKUP(M66,データ!$A$3:$C$23,2,FALSE)),"",VLOOKUP(M66,データ!$A$3:$C$23,2,FALSE))))</f>
        <v/>
      </c>
    </row>
    <row r="67" spans="1:30">
      <c r="A67" s="1">
        <f>IF(AND(M67&gt;=VLOOKUP(M67,データ!$K$3:$O$6,1,TRUE),M67&lt;=VLOOKUP(M67,データ!$K$3:$O$6,2,TRUE)),VLOOKUP(M67,データ!$K$3:$O$6,5,TRUE),"")</f>
        <v>1</v>
      </c>
      <c r="B67" s="74">
        <f>IF(AND(M67&gt;=VLOOKUP(M67,データ!$K$3:$O$6,1,TRUE),M67&lt;=VLOOKUP(M67,データ!$K$3:$O$6,2,TRUE)),VLOOKUP(M67,データ!$K$3:$O$6,3,TRUE),"")</f>
        <v>0.41666666666666669</v>
      </c>
      <c r="C67" s="1">
        <f>IF(AND(M67&gt;=VLOOKUP(M67,データ!$K$11:$O$16,1,TRUE),M67&lt;=VLOOKUP(M67,データ!$K$11:$O$16,2,TRUE)),VLOOKUP(M67,データ!$K$11:$O$16,5,TRUE),0)</f>
        <v>0</v>
      </c>
      <c r="D67" s="74" t="str">
        <f>IF(AND(M67&gt;=VLOOKUP(M67,データ!$K$11:$O$16,1,TRUE),M67&lt;=VLOOKUP(M67,データ!$K$11:$O$16,2,TRUE)),VLOOKUP(M67,データ!$K$11:$O$16,3,TRUE),"")</f>
        <v/>
      </c>
      <c r="E67" s="74">
        <f t="shared" si="48"/>
        <v>0.41666666666666669</v>
      </c>
      <c r="F67" s="75">
        <f>VLOOKUP(E67,データ!$K$20:$O$24,5,FALSE)</f>
        <v>0</v>
      </c>
      <c r="G67" s="74">
        <f>IF(AND(M67&gt;=VLOOKUP(M67,データ!$K$3:$O$6,1,TRUE),M67&lt;=VLOOKUP(M67,データ!$K$3:$O$6,2,TRUE)),VLOOKUP(M67,データ!$K$3:$O$6,4,TRUE),"")</f>
        <v>0.70833333333333337</v>
      </c>
      <c r="H67" s="256">
        <f>INDEX(データ!L$21:N$24,MATCH(配置表!E67,データ!K$21:K$24,0),MATCH(配置表!G67,データ!L$20:N$20,0))</f>
        <v>1</v>
      </c>
      <c r="I67" s="52" t="str">
        <f>IF(ISERROR(VLOOKUP(M67,データ!$A$3:$C$20,3,FALSE)),"",VLOOKUP(M67,データ!$A$3:$C$20,3,FALSE))</f>
        <v/>
      </c>
      <c r="J67" s="52" t="str">
        <f t="shared" si="49"/>
        <v/>
      </c>
      <c r="K67" s="53">
        <f t="shared" si="44"/>
        <v>0</v>
      </c>
      <c r="L67" s="28" t="str">
        <f t="shared" si="34"/>
        <v/>
      </c>
      <c r="M67" s="9">
        <f t="shared" si="45"/>
        <v>45805</v>
      </c>
      <c r="N67" s="10" t="str">
        <f t="shared" si="35"/>
        <v>水</v>
      </c>
      <c r="O67" s="62" t="str">
        <f>IF(AND(M67&gt;=VLOOKUP(M67,データ!$E$3:$G$9,1,TRUE),M67&lt;=VLOOKUP(M67,データ!$E$3:$G$9,2,TRUE)),VLOOKUP(M67,データ!$E$3:$G$9,3,TRUE),"")</f>
        <v/>
      </c>
      <c r="P67" s="67" t="str">
        <f>IF(AND(M67&gt;=VLOOKUP(M67,データ!$E$14:$G$21,1,TRUE),M67&lt;=VLOOKUP(M67,データ!$E$14:$G$21,2,TRUE)),VLOOKUP(M67,データ!$E$14:$G$21,3,TRUE),"")</f>
        <v>テーマ展</v>
      </c>
      <c r="Q67" s="44" t="str">
        <f t="shared" si="71"/>
        <v>○</v>
      </c>
      <c r="R67" s="45"/>
      <c r="S67" s="10" t="str">
        <f t="shared" si="46"/>
        <v/>
      </c>
      <c r="T67" s="45"/>
      <c r="U67" s="10" t="str">
        <f t="shared" si="47"/>
        <v>●</v>
      </c>
      <c r="V67" s="32"/>
      <c r="W67" s="33" t="str">
        <f t="shared" si="53"/>
        <v/>
      </c>
      <c r="X67" s="8"/>
      <c r="Y67" s="33" t="str">
        <f t="shared" si="36"/>
        <v>○</v>
      </c>
      <c r="Z67" s="8">
        <f>IF(L67="閉","",(IF(AND(M67&gt;=VLOOKUP(M67,データ!$E$3:$G$9,1,TRUE),M67&lt;=VLOOKUP(M67,データ!$E$3:$G$9,2,TRUE)),VLOOKUP(M67,データ!$E$3:$H$9,4,TRUE),0)+IF(AND(M67&gt;=VLOOKUP(M67,データ!$E$14:$G$21,1,TRUE),M67&lt;=VLOOKUP(M67,データ!$E$14:$G$21,2,TRUE)),VLOOKUP(M67,データ!$E$14:$H$21,4,TRUE),0)))</f>
        <v>1</v>
      </c>
      <c r="AA67" s="33" t="str">
        <f t="shared" si="37"/>
        <v>△</v>
      </c>
      <c r="AB67" s="227">
        <f t="shared" si="38"/>
        <v>0.41666666666666669</v>
      </c>
      <c r="AC67" s="227">
        <f t="shared" si="39"/>
        <v>0.70833333333333337</v>
      </c>
      <c r="AD67" s="228" t="str">
        <f>IF(K67=1,IF(ISERROR(VLOOKUP(M67,データ!$A$3:$C$23,2,FALSE)),"",VLOOKUP(M67,データ!$A$3:$C$23,2,FALSE)),(IF(ISERROR(VLOOKUP(M67,データ!$A$3:$C$23,2,FALSE)),"",VLOOKUP(M67,データ!$A$3:$C$23,2,FALSE))))</f>
        <v/>
      </c>
    </row>
    <row r="68" spans="1:30">
      <c r="A68" s="1">
        <f>IF(AND(M68&gt;=VLOOKUP(M68,データ!$K$3:$O$6,1,TRUE),M68&lt;=VLOOKUP(M68,データ!$K$3:$O$6,2,TRUE)),VLOOKUP(M68,データ!$K$3:$O$6,5,TRUE),"")</f>
        <v>1</v>
      </c>
      <c r="B68" s="74">
        <f>IF(AND(M68&gt;=VLOOKUP(M68,データ!$K$3:$O$6,1,TRUE),M68&lt;=VLOOKUP(M68,データ!$K$3:$O$6,2,TRUE)),VLOOKUP(M68,データ!$K$3:$O$6,3,TRUE),"")</f>
        <v>0.41666666666666669</v>
      </c>
      <c r="C68" s="1">
        <f>IF(AND(M68&gt;=VLOOKUP(M68,データ!$K$11:$O$16,1,TRUE),M68&lt;=VLOOKUP(M68,データ!$K$11:$O$16,2,TRUE)),VLOOKUP(M68,データ!$K$11:$O$16,5,TRUE),0)</f>
        <v>0</v>
      </c>
      <c r="D68" s="74" t="str">
        <f>IF(AND(M68&gt;=VLOOKUP(M68,データ!$K$11:$O$16,1,TRUE),M68&lt;=VLOOKUP(M68,データ!$K$11:$O$16,2,TRUE)),VLOOKUP(M68,データ!$K$11:$O$16,3,TRUE),"")</f>
        <v/>
      </c>
      <c r="E68" s="74">
        <f t="shared" si="48"/>
        <v>0.41666666666666669</v>
      </c>
      <c r="F68" s="75">
        <f>VLOOKUP(E68,データ!$K$20:$O$24,5,FALSE)</f>
        <v>0</v>
      </c>
      <c r="G68" s="74">
        <f>IF(AND(M68&gt;=VLOOKUP(M68,データ!$K$3:$O$6,1,TRUE),M68&lt;=VLOOKUP(M68,データ!$K$3:$O$6,2,TRUE)),VLOOKUP(M68,データ!$K$3:$O$6,4,TRUE),"")</f>
        <v>0.70833333333333337</v>
      </c>
      <c r="H68" s="256">
        <f>INDEX(データ!L$21:N$24,MATCH(配置表!E68,データ!K$21:K$24,0),MATCH(配置表!G68,データ!L$20:N$20,0))</f>
        <v>1</v>
      </c>
      <c r="I68" s="52" t="str">
        <f>IF(ISERROR(VLOOKUP(M68,データ!$A$3:$C$20,3,FALSE)),"",VLOOKUP(M68,データ!$A$3:$C$20,3,FALSE))</f>
        <v/>
      </c>
      <c r="J68" s="52" t="str">
        <f t="shared" si="49"/>
        <v/>
      </c>
      <c r="K68" s="53">
        <f t="shared" si="44"/>
        <v>0</v>
      </c>
      <c r="L68" s="28" t="str">
        <f t="shared" si="34"/>
        <v/>
      </c>
      <c r="M68" s="9">
        <f t="shared" si="45"/>
        <v>45806</v>
      </c>
      <c r="N68" s="10" t="str">
        <f t="shared" si="35"/>
        <v>木</v>
      </c>
      <c r="O68" s="62" t="str">
        <f>IF(AND(M68&gt;=VLOOKUP(M68,データ!$E$3:$G$9,1,TRUE),M68&lt;=VLOOKUP(M68,データ!$E$3:$G$9,2,TRUE)),VLOOKUP(M68,データ!$E$3:$G$9,3,TRUE),"")</f>
        <v/>
      </c>
      <c r="P68" s="67" t="str">
        <f>IF(AND(M68&gt;=VLOOKUP(M68,データ!$E$14:$G$21,1,TRUE),M68&lt;=VLOOKUP(M68,データ!$E$14:$G$21,2,TRUE)),VLOOKUP(M68,データ!$E$14:$G$21,3,TRUE),"")</f>
        <v>テーマ展</v>
      </c>
      <c r="Q68" s="44" t="str">
        <f t="shared" si="71"/>
        <v>○</v>
      </c>
      <c r="R68" s="45"/>
      <c r="S68" s="10" t="str">
        <f t="shared" si="46"/>
        <v/>
      </c>
      <c r="T68" s="45"/>
      <c r="U68" s="10" t="str">
        <f t="shared" si="47"/>
        <v>●</v>
      </c>
      <c r="V68" s="32"/>
      <c r="W68" s="33" t="str">
        <f t="shared" si="53"/>
        <v/>
      </c>
      <c r="X68" s="8"/>
      <c r="Y68" s="33" t="str">
        <f t="shared" si="36"/>
        <v>○</v>
      </c>
      <c r="Z68" s="8">
        <f>IF(L68="閉","",(IF(AND(M68&gt;=VLOOKUP(M68,データ!$E$3:$G$9,1,TRUE),M68&lt;=VLOOKUP(M68,データ!$E$3:$G$9,2,TRUE)),VLOOKUP(M68,データ!$E$3:$H$9,4,TRUE),0)+IF(AND(M68&gt;=VLOOKUP(M68,データ!$E$14:$G$21,1,TRUE),M68&lt;=VLOOKUP(M68,データ!$E$14:$G$21,2,TRUE)),VLOOKUP(M68,データ!$E$14:$H$21,4,TRUE),0)))</f>
        <v>1</v>
      </c>
      <c r="AA68" s="33" t="str">
        <f t="shared" si="37"/>
        <v>△</v>
      </c>
      <c r="AB68" s="227">
        <f t="shared" si="38"/>
        <v>0.41666666666666669</v>
      </c>
      <c r="AC68" s="227">
        <f t="shared" si="39"/>
        <v>0.70833333333333337</v>
      </c>
      <c r="AD68" s="228" t="str">
        <f>IF(K68=1,IF(ISERROR(VLOOKUP(M68,データ!$A$3:$C$23,2,FALSE)),"",VLOOKUP(M68,データ!$A$3:$C$23,2,FALSE)),(IF(ISERROR(VLOOKUP(M68,データ!$A$3:$C$23,2,FALSE)),"",VLOOKUP(M68,データ!$A$3:$C$23,2,FALSE))))</f>
        <v/>
      </c>
    </row>
    <row r="69" spans="1:30">
      <c r="A69" s="1">
        <f>IF(AND(M69&gt;=VLOOKUP(M69,データ!$K$3:$O$6,1,TRUE),M69&lt;=VLOOKUP(M69,データ!$K$3:$O$6,2,TRUE)),VLOOKUP(M69,データ!$K$3:$O$6,5,TRUE),"")</f>
        <v>1</v>
      </c>
      <c r="B69" s="74">
        <f>IF(AND(M69&gt;=VLOOKUP(M69,データ!$K$3:$O$6,1,TRUE),M69&lt;=VLOOKUP(M69,データ!$K$3:$O$6,2,TRUE)),VLOOKUP(M69,データ!$K$3:$O$6,3,TRUE),"")</f>
        <v>0.41666666666666669</v>
      </c>
      <c r="C69" s="1">
        <f>IF(AND(M69&gt;=VLOOKUP(M69,データ!$K$11:$O$16,1,TRUE),M69&lt;=VLOOKUP(M69,データ!$K$11:$O$16,2,TRUE)),VLOOKUP(M69,データ!$K$11:$O$16,5,TRUE),0)</f>
        <v>0</v>
      </c>
      <c r="D69" s="74" t="str">
        <f>IF(AND(M69&gt;=VLOOKUP(M69,データ!$K$11:$O$16,1,TRUE),M69&lt;=VLOOKUP(M69,データ!$K$11:$O$16,2,TRUE)),VLOOKUP(M69,データ!$K$11:$O$16,3,TRUE),"")</f>
        <v/>
      </c>
      <c r="E69" s="74">
        <f t="shared" si="48"/>
        <v>0.41666666666666669</v>
      </c>
      <c r="F69" s="75">
        <f>VLOOKUP(E69,データ!$K$20:$O$24,5,FALSE)</f>
        <v>0</v>
      </c>
      <c r="G69" s="74">
        <f>IF(AND(M69&gt;=VLOOKUP(M69,データ!$K$3:$O$6,1,TRUE),M69&lt;=VLOOKUP(M69,データ!$K$3:$O$6,2,TRUE)),VLOOKUP(M69,データ!$K$3:$O$6,4,TRUE),"")</f>
        <v>0.70833333333333337</v>
      </c>
      <c r="H69" s="256">
        <f>INDEX(データ!L$21:N$24,MATCH(配置表!E69,データ!K$21:K$24,0),MATCH(配置表!G69,データ!L$20:N$20,0))</f>
        <v>1</v>
      </c>
      <c r="I69" s="52" t="str">
        <f>IF(ISERROR(VLOOKUP(M69,データ!$A$3:$C$20,3,FALSE)),"",VLOOKUP(M69,データ!$A$3:$C$20,3,FALSE))</f>
        <v/>
      </c>
      <c r="J69" s="52" t="str">
        <f t="shared" si="49"/>
        <v/>
      </c>
      <c r="K69" s="53">
        <f t="shared" si="44"/>
        <v>0</v>
      </c>
      <c r="L69" s="28" t="str">
        <f t="shared" si="34"/>
        <v/>
      </c>
      <c r="M69" s="9">
        <f t="shared" si="45"/>
        <v>45807</v>
      </c>
      <c r="N69" s="10" t="str">
        <f t="shared" si="35"/>
        <v>金</v>
      </c>
      <c r="O69" s="62" t="str">
        <f>IF(AND(M69&gt;=VLOOKUP(M69,データ!$E$3:$G$9,1,TRUE),M69&lt;=VLOOKUP(M69,データ!$E$3:$G$9,2,TRUE)),VLOOKUP(M69,データ!$E$3:$G$9,3,TRUE),"")</f>
        <v/>
      </c>
      <c r="P69" s="67" t="str">
        <f>IF(AND(M69&gt;=VLOOKUP(M69,データ!$E$14:$G$21,1,TRUE),M69&lt;=VLOOKUP(M69,データ!$E$14:$G$21,2,TRUE)),VLOOKUP(M69,データ!$E$14:$G$21,3,TRUE),"")</f>
        <v>テーマ展</v>
      </c>
      <c r="Q69" s="44" t="str">
        <f t="shared" si="71"/>
        <v>○</v>
      </c>
      <c r="R69" s="45"/>
      <c r="S69" s="10" t="str">
        <f t="shared" si="46"/>
        <v/>
      </c>
      <c r="T69" s="45"/>
      <c r="U69" s="10" t="str">
        <f t="shared" si="47"/>
        <v>●</v>
      </c>
      <c r="V69" s="32"/>
      <c r="W69" s="33" t="str">
        <f t="shared" si="53"/>
        <v/>
      </c>
      <c r="X69" s="8"/>
      <c r="Y69" s="33" t="str">
        <f t="shared" si="36"/>
        <v>○</v>
      </c>
      <c r="Z69" s="8">
        <f>IF(L69="閉","",(IF(AND(M69&gt;=VLOOKUP(M69,データ!$E$3:$G$9,1,TRUE),M69&lt;=VLOOKUP(M69,データ!$E$3:$G$9,2,TRUE)),VLOOKUP(M69,データ!$E$3:$H$9,4,TRUE),0)+IF(AND(M69&gt;=VLOOKUP(M69,データ!$E$14:$G$21,1,TRUE),M69&lt;=VLOOKUP(M69,データ!$E$14:$G$21,2,TRUE)),VLOOKUP(M69,データ!$E$14:$H$21,4,TRUE),0)))</f>
        <v>1</v>
      </c>
      <c r="AA69" s="33" t="str">
        <f t="shared" si="37"/>
        <v>△</v>
      </c>
      <c r="AB69" s="227">
        <f t="shared" si="38"/>
        <v>0.41666666666666669</v>
      </c>
      <c r="AC69" s="227">
        <f t="shared" si="39"/>
        <v>0.70833333333333337</v>
      </c>
      <c r="AD69" s="228" t="str">
        <f>IF(K69=1,IF(ISERROR(VLOOKUP(M69,データ!$A$3:$C$23,2,FALSE)),"",VLOOKUP(M69,データ!$A$3:$C$23,2,FALSE)),(IF(ISERROR(VLOOKUP(M69,データ!$A$3:$C$23,2,FALSE)),"",VLOOKUP(M69,データ!$A$3:$C$23,2,FALSE))))</f>
        <v/>
      </c>
    </row>
    <row r="70" spans="1:30" ht="12" thickBot="1">
      <c r="A70" s="1">
        <f>IF(AND(M70&gt;=VLOOKUP(M70,データ!$K$3:$O$6,1,TRUE),M70&lt;=VLOOKUP(M70,データ!$K$3:$O$6,2,TRUE)),VLOOKUP(M70,データ!$K$3:$O$6,5,TRUE),"")</f>
        <v>1</v>
      </c>
      <c r="B70" s="74">
        <f>IF(AND(M70&gt;=VLOOKUP(M70,データ!$K$3:$O$6,1,TRUE),M70&lt;=VLOOKUP(M70,データ!$K$3:$O$6,2,TRUE)),VLOOKUP(M70,データ!$K$3:$O$6,3,TRUE),"")</f>
        <v>0.41666666666666669</v>
      </c>
      <c r="C70" s="1">
        <f>IF(AND(M70&gt;=VLOOKUP(M70,データ!$K$11:$O$16,1,TRUE),M70&lt;=VLOOKUP(M70,データ!$K$11:$O$16,2,TRUE)),VLOOKUP(M70,データ!$K$11:$O$16,5,TRUE),0)</f>
        <v>0</v>
      </c>
      <c r="D70" s="74" t="str">
        <f>IF(AND(M70&gt;=VLOOKUP(M70,データ!$K$11:$O$16,1,TRUE),M70&lt;=VLOOKUP(M70,データ!$K$11:$O$16,2,TRUE)),VLOOKUP(M70,データ!$K$11:$O$16,3,TRUE),"")</f>
        <v/>
      </c>
      <c r="E70" s="74">
        <f t="shared" si="48"/>
        <v>0.41666666666666669</v>
      </c>
      <c r="F70" s="75">
        <f>VLOOKUP(E70,データ!$K$20:$O$24,5,FALSE)</f>
        <v>0</v>
      </c>
      <c r="G70" s="74">
        <f>IF(AND(M70&gt;=VLOOKUP(M70,データ!$K$3:$O$6,1,TRUE),M70&lt;=VLOOKUP(M70,データ!$K$3:$O$6,2,TRUE)),VLOOKUP(M70,データ!$K$3:$O$6,4,TRUE),"")</f>
        <v>0.70833333333333337</v>
      </c>
      <c r="H70" s="256">
        <f>INDEX(データ!L$21:N$24,MATCH(配置表!E70,データ!K$21:K$24,0),MATCH(配置表!G70,データ!L$20:N$20,0))</f>
        <v>1</v>
      </c>
      <c r="I70" s="52" t="str">
        <f>IF(ISERROR(VLOOKUP(M70,データ!$A$3:$C$20,3,FALSE)),"",VLOOKUP(M70,データ!$A$3:$C$20,3,FALSE))</f>
        <v/>
      </c>
      <c r="J70" s="52" t="str">
        <f t="shared" si="49"/>
        <v/>
      </c>
      <c r="K70" s="53">
        <f t="shared" si="44"/>
        <v>0</v>
      </c>
      <c r="L70" s="28" t="str">
        <f t="shared" si="34"/>
        <v/>
      </c>
      <c r="M70" s="29">
        <f t="shared" si="45"/>
        <v>45808</v>
      </c>
      <c r="N70" s="22" t="str">
        <f t="shared" si="35"/>
        <v>土</v>
      </c>
      <c r="O70" s="64" t="str">
        <f>IF(AND(M70&gt;=VLOOKUP(M70,データ!$E$3:$G$9,1,TRUE),M70&lt;=VLOOKUP(M70,データ!$E$3:$G$9,2,TRUE)),VLOOKUP(M70,データ!$E$3:$G$9,3,TRUE),"")</f>
        <v/>
      </c>
      <c r="P70" s="68" t="str">
        <f>IF(AND(M70&gt;=VLOOKUP(M70,データ!$E$14:$G$21,1,TRUE),M70&lt;=VLOOKUP(M70,データ!$E$14:$G$21,2,TRUE)),VLOOKUP(M70,データ!$E$14:$G$21,3,TRUE),"")</f>
        <v>テーマ展</v>
      </c>
      <c r="Q70" s="40" t="str">
        <f t="shared" si="71"/>
        <v>○</v>
      </c>
      <c r="R70" s="41"/>
      <c r="S70" s="22" t="str">
        <f t="shared" si="46"/>
        <v/>
      </c>
      <c r="T70" s="41"/>
      <c r="U70" s="22" t="str">
        <f t="shared" si="47"/>
        <v>●</v>
      </c>
      <c r="V70" s="23"/>
      <c r="W70" s="34" t="str">
        <f t="shared" si="53"/>
        <v/>
      </c>
      <c r="X70" s="27"/>
      <c r="Y70" s="34" t="str">
        <f t="shared" si="36"/>
        <v>○</v>
      </c>
      <c r="Z70" s="27">
        <f>IF(L70="閉","",(IF(AND(M70&gt;=VLOOKUP(M70,データ!$E$3:$G$9,1,TRUE),M70&lt;=VLOOKUP(M70,データ!$E$3:$G$9,2,TRUE)),VLOOKUP(M70,データ!$E$3:$H$9,4,TRUE),0)+IF(AND(M70&gt;=VLOOKUP(M70,データ!$E$14:$G$21,1,TRUE),M70&lt;=VLOOKUP(M70,データ!$E$14:$G$21,2,TRUE)),VLOOKUP(M70,データ!$E$14:$H$21,4,TRUE),0)))</f>
        <v>1</v>
      </c>
      <c r="AA70" s="34" t="str">
        <f t="shared" si="37"/>
        <v>△</v>
      </c>
      <c r="AB70" s="233">
        <f t="shared" si="38"/>
        <v>0.41666666666666669</v>
      </c>
      <c r="AC70" s="233">
        <f t="shared" si="39"/>
        <v>0.70833333333333337</v>
      </c>
      <c r="AD70" s="231" t="str">
        <f>IF(K70=1,IF(ISERROR(VLOOKUP(M70,データ!$A$3:$C$23,2,FALSE)),"",VLOOKUP(M70,データ!$A$3:$C$23,2,FALSE)),(IF(ISERROR(VLOOKUP(M70,データ!$A$3:$C$23,2,FALSE)),"",VLOOKUP(M70,データ!$A$3:$C$23,2,FALSE))))</f>
        <v/>
      </c>
    </row>
    <row r="71" spans="1:30" ht="14.25" thickBot="1">
      <c r="H71" s="256"/>
      <c r="I71" s="52"/>
      <c r="J71" s="52"/>
      <c r="K71" s="53"/>
      <c r="L71" s="28" t="str">
        <f t="shared" si="31"/>
        <v/>
      </c>
      <c r="M71" s="57"/>
      <c r="N71" s="50"/>
      <c r="O71" s="50"/>
      <c r="P71" s="50"/>
      <c r="Q71" s="10"/>
      <c r="R71" s="10"/>
      <c r="S71" s="10"/>
      <c r="T71" s="10"/>
      <c r="U71" s="10"/>
      <c r="V71" s="8"/>
      <c r="W71" s="10"/>
      <c r="X71" s="8"/>
      <c r="Y71" s="10"/>
      <c r="Z71" s="8"/>
      <c r="AA71" s="10"/>
      <c r="AB71" s="223" t="str">
        <f>IF(ISERROR(VLOOKUP(M71,データ!$A$3:$C$23,2,FALSE)),"",VLOOKUP(M71,データ!$A$3:$C$23,2,FALSE))</f>
        <v/>
      </c>
      <c r="AC71" s="2"/>
    </row>
    <row r="72" spans="1:30" customFormat="1" ht="27.75" customHeight="1" thickBot="1">
      <c r="H72" s="257"/>
      <c r="I72" s="52"/>
      <c r="J72" s="52"/>
      <c r="K72" s="53"/>
      <c r="L72" s="28" t="str">
        <f t="shared" ref="L72:L105" si="72">IF(K72=1,"閉","")</f>
        <v/>
      </c>
      <c r="M72" s="58"/>
      <c r="N72" s="59"/>
      <c r="O72" s="42" t="s">
        <v>5</v>
      </c>
      <c r="P72" s="42" t="s">
        <v>6</v>
      </c>
      <c r="Q72" s="49" t="s">
        <v>8</v>
      </c>
      <c r="R72" s="354" t="s">
        <v>13</v>
      </c>
      <c r="S72" s="355"/>
      <c r="T72" s="354" t="s">
        <v>14</v>
      </c>
      <c r="U72" s="355"/>
      <c r="V72" s="354" t="s">
        <v>9</v>
      </c>
      <c r="W72" s="355"/>
      <c r="X72" s="354" t="s">
        <v>10</v>
      </c>
      <c r="Y72" s="355"/>
      <c r="Z72" s="354" t="s">
        <v>1</v>
      </c>
      <c r="AA72" s="355"/>
      <c r="AB72" s="38" t="s">
        <v>114</v>
      </c>
      <c r="AC72" s="38" t="s">
        <v>35</v>
      </c>
      <c r="AD72" s="38" t="s">
        <v>116</v>
      </c>
    </row>
    <row r="73" spans="1:30">
      <c r="A73" s="1">
        <f>IF(AND(M73&gt;=VLOOKUP(M73,データ!$K$3:$O$6,1,TRUE),M73&lt;=VLOOKUP(M73,データ!$K$3:$O$6,2,TRUE)),VLOOKUP(M73,データ!$K$3:$O$6,5,TRUE),"")</f>
        <v>1</v>
      </c>
      <c r="B73" s="74">
        <f>IF(AND(M73&gt;=VLOOKUP(M73,データ!$K$3:$O$6,1,TRUE),M73&lt;=VLOOKUP(M73,データ!$K$3:$O$6,2,TRUE)),VLOOKUP(M73,データ!$K$3:$O$6,3,TRUE),"")</f>
        <v>0.41666666666666669</v>
      </c>
      <c r="C73" s="1">
        <f>IF(AND(M73&gt;=VLOOKUP(M73,データ!$K$11:$O$16,1,TRUE),M73&lt;=VLOOKUP(M73,データ!$K$11:$O$16,2,TRUE)),VLOOKUP(M73,データ!$K$11:$O$16,5,TRUE),0)</f>
        <v>0</v>
      </c>
      <c r="D73" s="74" t="str">
        <f>IF(AND(M73&gt;=VLOOKUP(M73,データ!$K$11:$O$16,1,TRUE),M73&lt;=VLOOKUP(M73,データ!$K$11:$O$16,2,TRUE)),VLOOKUP(M73,データ!$K$11:$O$16,3,TRUE),"")</f>
        <v/>
      </c>
      <c r="E73" s="74">
        <f t="shared" ref="E73:E102" si="73">IF(C73=2,IF(OR(N73="土",N73="日"),D73,B73),IF(C73=1,D73,B73))</f>
        <v>0.41666666666666669</v>
      </c>
      <c r="F73" s="75">
        <f>VLOOKUP(E73,データ!$K$20:$O$24,5,FALSE)</f>
        <v>0</v>
      </c>
      <c r="G73" s="74">
        <f>IF(AND(M73&gt;=VLOOKUP(M73,データ!$K$3:$O$6,1,TRUE),M73&lt;=VLOOKUP(M73,データ!$K$3:$O$6,2,TRUE)),VLOOKUP(M73,データ!$K$3:$O$6,4,TRUE),"")</f>
        <v>0.70833333333333337</v>
      </c>
      <c r="H73" s="256">
        <f>INDEX(データ!L$21:N$24,MATCH(配置表!E73,データ!K$21:K$24,0),MATCH(配置表!G73,データ!L$20:N$20,0))</f>
        <v>1</v>
      </c>
      <c r="I73" s="52" t="str">
        <f>IF(ISERROR(VLOOKUP(M73,データ!$A$3:$C$20,3,FALSE)),"",VLOOKUP(M73,データ!$A$3:$C$20,3,FALSE))</f>
        <v/>
      </c>
      <c r="J73" s="52" t="str">
        <f t="shared" ref="J73:J102" si="74">IF(N73="月",1,"")</f>
        <v/>
      </c>
      <c r="K73" s="53">
        <f>IF(K70=2,IF(I73=1,2,1),IF(I73=1,IF(J73=1,2,0),IF(J73=1,1,0)))</f>
        <v>0</v>
      </c>
      <c r="L73" s="28" t="str">
        <f t="shared" ref="L73:L102" si="75">IF(AND(O73="",P73=""),"閉",IF(K73=1,"閉",""))</f>
        <v/>
      </c>
      <c r="M73" s="25">
        <f>M70+1</f>
        <v>45809</v>
      </c>
      <c r="N73" s="30" t="str">
        <f t="shared" ref="N73:N102" si="76">TEXT(WEEKDAY(M73,1),"aaa")</f>
        <v>日</v>
      </c>
      <c r="O73" s="62" t="str">
        <f>IF(AND(M73&gt;=VLOOKUP(M73,データ!$E$3:$G$9,1,TRUE),M73&lt;=VLOOKUP(M73,データ!$E$3:$G$9,2,TRUE)),VLOOKUP(M73,データ!$E$3:$G$9,3,TRUE),"")</f>
        <v/>
      </c>
      <c r="P73" s="63" t="str">
        <f>IF(AND(M73&gt;=VLOOKUP(M73,データ!$E$14:$G$21,1,TRUE),M73&lt;=VLOOKUP(M73,データ!$E$14:$G$21,2,TRUE)),VLOOKUP(M73,データ!$E$14:$G$21,3,TRUE),"")</f>
        <v>テーマ展</v>
      </c>
      <c r="Q73" s="134" t="str">
        <f t="shared" ref="Q73:Q102" si="77">IF(L73="閉","休","○")</f>
        <v>○</v>
      </c>
      <c r="R73" s="46"/>
      <c r="S73" s="24" t="str">
        <f t="shared" ref="S73:S102" si="78">IF(L73="閉","休",IF(O73="","",IF(O73="冬　特別展",IF(OR(N73="土",N73="日",I73=1),"○",""),"○")))</f>
        <v/>
      </c>
      <c r="T73" s="46"/>
      <c r="U73" s="24" t="str">
        <f t="shared" ref="U73:U102" si="79">IF(L73="閉","休",IF(S73="","●","●"))</f>
        <v>●</v>
      </c>
      <c r="V73" s="35"/>
      <c r="W73" s="47" t="str">
        <f t="shared" ref="W73:W102" si="80">IF(L73="閉","休",IF(O73="","",IF(OR(N73="土",N73="日",I73=1),IF(OR(O73="ダミー　特別展",O73="ダミー　特別展"),"◎",IF(OR(O73="夏　特別展",O73="秋　特別展",O73="春　特別展"),"○","")),"")))</f>
        <v/>
      </c>
      <c r="X73" s="30"/>
      <c r="Y73" s="47" t="str">
        <f t="shared" ref="Y73:Y102" si="81">IF(L73="閉","休",IF(H73=1,"○",IF(H73=2,"●","Err")))</f>
        <v>○</v>
      </c>
      <c r="Z73" s="30">
        <f>IF(L73="閉","",(IF(AND(M73&gt;=VLOOKUP(M73,データ!$E$3:$G$9,1,TRUE),M73&lt;=VLOOKUP(M73,データ!$E$3:$G$9,2,TRUE)),VLOOKUP(M73,データ!$E$3:$H$9,4,TRUE),0)+IF(AND(M73&gt;=VLOOKUP(M73,データ!$E$14:$G$21,1,TRUE),M73&lt;=VLOOKUP(M73,データ!$E$14:$G$21,2,TRUE)),VLOOKUP(M73,データ!$E$14:$H$21,4,TRUE),0)))</f>
        <v>1</v>
      </c>
      <c r="AA73" s="47" t="str">
        <f t="shared" ref="AA73:AA102" si="82">IF(L73="閉","休",IF(O73="","△",IF(H73=1,"○",IF(H73=2,"●","Err"))))</f>
        <v>△</v>
      </c>
      <c r="AB73" s="232">
        <f t="shared" ref="AB73:AB102" si="83">IF(K73=1,"",E73)</f>
        <v>0.41666666666666669</v>
      </c>
      <c r="AC73" s="232">
        <f t="shared" ref="AC73:AC102" si="84">IF(K73=1,"",G73)</f>
        <v>0.70833333333333337</v>
      </c>
      <c r="AD73" s="226" t="str">
        <f>IF(K73=1,IF(ISERROR(VLOOKUP(M73,データ!$A$3:$C$23,2,FALSE)),"",VLOOKUP(M73,データ!$A$3:$C$23,2,FALSE)),(IF(ISERROR(VLOOKUP(M73,データ!$A$3:$C$23,2,FALSE)),"",VLOOKUP(M73,データ!$A$3:$C$23,2,FALSE))))</f>
        <v/>
      </c>
    </row>
    <row r="74" spans="1:30">
      <c r="A74" s="1">
        <f>IF(AND(M74&gt;=VLOOKUP(M74,データ!$K$3:$O$6,1,TRUE),M74&lt;=VLOOKUP(M74,データ!$K$3:$O$6,2,TRUE)),VLOOKUP(M74,データ!$K$3:$O$6,5,TRUE),"")</f>
        <v>1</v>
      </c>
      <c r="B74" s="74">
        <f>IF(AND(M74&gt;=VLOOKUP(M74,データ!$K$3:$O$6,1,TRUE),M74&lt;=VLOOKUP(M74,データ!$K$3:$O$6,2,TRUE)),VLOOKUP(M74,データ!$K$3:$O$6,3,TRUE),"")</f>
        <v>0.41666666666666669</v>
      </c>
      <c r="C74" s="1">
        <f>IF(AND(M74&gt;=VLOOKUP(M74,データ!$K$11:$O$16,1,TRUE),M74&lt;=VLOOKUP(M74,データ!$K$11:$O$16,2,TRUE)),VLOOKUP(M74,データ!$K$11:$O$16,5,TRUE),0)</f>
        <v>0</v>
      </c>
      <c r="D74" s="74" t="str">
        <f>IF(AND(M74&gt;=VLOOKUP(M74,データ!$K$11:$O$16,1,TRUE),M74&lt;=VLOOKUP(M74,データ!$K$11:$O$16,2,TRUE)),VLOOKUP(M74,データ!$K$11:$O$16,3,TRUE),"")</f>
        <v/>
      </c>
      <c r="E74" s="74">
        <f t="shared" si="73"/>
        <v>0.41666666666666669</v>
      </c>
      <c r="F74" s="75">
        <f>VLOOKUP(E74,データ!$K$20:$O$24,5,FALSE)</f>
        <v>0</v>
      </c>
      <c r="G74" s="74">
        <f>IF(AND(M74&gt;=VLOOKUP(M74,データ!$K$3:$O$6,1,TRUE),M74&lt;=VLOOKUP(M74,データ!$K$3:$O$6,2,TRUE)),VLOOKUP(M74,データ!$K$3:$O$6,4,TRUE),"")</f>
        <v>0.70833333333333337</v>
      </c>
      <c r="H74" s="256">
        <f>INDEX(データ!L$21:N$24,MATCH(配置表!E74,データ!K$21:K$24,0),MATCH(配置表!G74,データ!L$20:N$20,0))</f>
        <v>1</v>
      </c>
      <c r="I74" s="52" t="str">
        <f>IF(ISERROR(VLOOKUP(M74,データ!$A$3:$C$20,3,FALSE)),"",VLOOKUP(M74,データ!$A$3:$C$20,3,FALSE))</f>
        <v/>
      </c>
      <c r="J74" s="52">
        <f t="shared" si="74"/>
        <v>1</v>
      </c>
      <c r="K74" s="53">
        <f>IF(K73=2,IF(I74=1,2,1),IF(I74=1,IF(J74=1,2,0),IF(J74=1,1,0)))</f>
        <v>1</v>
      </c>
      <c r="L74" s="28" t="str">
        <f t="shared" si="75"/>
        <v>閉</v>
      </c>
      <c r="M74" s="9">
        <f>M73+1</f>
        <v>45810</v>
      </c>
      <c r="N74" s="8" t="str">
        <f t="shared" si="76"/>
        <v>月</v>
      </c>
      <c r="O74" s="62" t="str">
        <f>IF(AND(M74&gt;=VLOOKUP(M74,データ!$E$3:$G$9,1,TRUE),M74&lt;=VLOOKUP(M74,データ!$E$3:$G$9,2,TRUE)),VLOOKUP(M74,データ!$E$3:$G$9,3,TRUE),"")</f>
        <v/>
      </c>
      <c r="P74" s="63" t="str">
        <f>IF(AND(M74&gt;=VLOOKUP(M74,データ!$E$14:$G$21,1,TRUE),M74&lt;=VLOOKUP(M74,データ!$E$14:$G$21,2,TRUE)),VLOOKUP(M74,データ!$E$14:$G$21,3,TRUE),"")</f>
        <v>テーマ展</v>
      </c>
      <c r="Q74" s="44" t="str">
        <f t="shared" si="77"/>
        <v>休</v>
      </c>
      <c r="R74" s="8"/>
      <c r="S74" s="33" t="str">
        <f t="shared" si="78"/>
        <v>休</v>
      </c>
      <c r="T74" s="8"/>
      <c r="U74" s="33" t="str">
        <f t="shared" si="79"/>
        <v>休</v>
      </c>
      <c r="V74" s="8"/>
      <c r="W74" s="33" t="str">
        <f t="shared" si="80"/>
        <v>休</v>
      </c>
      <c r="X74" s="8"/>
      <c r="Y74" s="33" t="str">
        <f t="shared" si="81"/>
        <v>休</v>
      </c>
      <c r="Z74" s="8" t="str">
        <f>IF(L74="閉","",(IF(AND(M74&gt;=VLOOKUP(M74,データ!$E$3:$G$9,1,TRUE),M74&lt;=VLOOKUP(M74,データ!$E$3:$G$9,2,TRUE)),VLOOKUP(M74,データ!$E$3:$H$9,4,TRUE),0)+IF(AND(M74&gt;=VLOOKUP(M74,データ!$E$14:$G$21,1,TRUE),M74&lt;=VLOOKUP(M74,データ!$E$14:$G$21,2,TRUE)),VLOOKUP(M74,データ!$E$14:$H$21,4,TRUE),0)))</f>
        <v/>
      </c>
      <c r="AA74" s="33" t="str">
        <f t="shared" si="82"/>
        <v>休</v>
      </c>
      <c r="AB74" s="227" t="str">
        <f t="shared" si="83"/>
        <v/>
      </c>
      <c r="AC74" s="227" t="str">
        <f t="shared" si="84"/>
        <v/>
      </c>
      <c r="AD74" s="228" t="str">
        <f>IF(K74=1,IF(ISERROR(VLOOKUP(M74,データ!$A$3:$C$23,2,FALSE)),"",VLOOKUP(M74,データ!$A$3:$C$23,2,FALSE)),(IF(ISERROR(VLOOKUP(M74,データ!$A$3:$C$23,2,FALSE)),"",VLOOKUP(M74,データ!$A$3:$C$23,2,FALSE))))</f>
        <v/>
      </c>
    </row>
    <row r="75" spans="1:30">
      <c r="A75" s="1">
        <f>IF(AND(M75&gt;=VLOOKUP(M75,データ!$K$3:$O$6,1,TRUE),M75&lt;=VLOOKUP(M75,データ!$K$3:$O$6,2,TRUE)),VLOOKUP(M75,データ!$K$3:$O$6,5,TRUE),"")</f>
        <v>1</v>
      </c>
      <c r="B75" s="74">
        <f>IF(AND(M75&gt;=VLOOKUP(M75,データ!$K$3:$O$6,1,TRUE),M75&lt;=VLOOKUP(M75,データ!$K$3:$O$6,2,TRUE)),VLOOKUP(M75,データ!$K$3:$O$6,3,TRUE),"")</f>
        <v>0.41666666666666669</v>
      </c>
      <c r="C75" s="1">
        <f>IF(AND(M75&gt;=VLOOKUP(M75,データ!$K$11:$O$16,1,TRUE),M75&lt;=VLOOKUP(M75,データ!$K$11:$O$16,2,TRUE)),VLOOKUP(M75,データ!$K$11:$O$16,5,TRUE),0)</f>
        <v>0</v>
      </c>
      <c r="D75" s="74" t="str">
        <f>IF(AND(M75&gt;=VLOOKUP(M75,データ!$K$11:$O$16,1,TRUE),M75&lt;=VLOOKUP(M75,データ!$K$11:$O$16,2,TRUE)),VLOOKUP(M75,データ!$K$11:$O$16,3,TRUE),"")</f>
        <v/>
      </c>
      <c r="E75" s="74">
        <f t="shared" si="73"/>
        <v>0.41666666666666669</v>
      </c>
      <c r="F75" s="75">
        <f>VLOOKUP(E75,データ!$K$20:$O$24,5,FALSE)</f>
        <v>0</v>
      </c>
      <c r="G75" s="74">
        <f>IF(AND(M75&gt;=VLOOKUP(M75,データ!$K$3:$O$6,1,TRUE),M75&lt;=VLOOKUP(M75,データ!$K$3:$O$6,2,TRUE)),VLOOKUP(M75,データ!$K$3:$O$6,4,TRUE),"")</f>
        <v>0.70833333333333337</v>
      </c>
      <c r="H75" s="256">
        <f>INDEX(データ!L$21:N$24,MATCH(配置表!E75,データ!K$21:K$24,0),MATCH(配置表!G75,データ!L$20:N$20,0))</f>
        <v>1</v>
      </c>
      <c r="I75" s="52" t="str">
        <f>IF(ISERROR(VLOOKUP(M75,データ!$A$3:$C$20,3,FALSE)),"",VLOOKUP(M75,データ!$A$3:$C$20,3,FALSE))</f>
        <v/>
      </c>
      <c r="J75" s="52" t="str">
        <f t="shared" si="74"/>
        <v/>
      </c>
      <c r="K75" s="53">
        <f t="shared" ref="K75:K102" si="85">IF(K74=2,IF(I75=1,2,1),IF(I75=1,IF(J75=1,2,0),IF(J75=1,1,0)))</f>
        <v>0</v>
      </c>
      <c r="L75" s="28" t="str">
        <f t="shared" si="75"/>
        <v/>
      </c>
      <c r="M75" s="9">
        <f t="shared" ref="M75:M102" si="86">M74+1</f>
        <v>45811</v>
      </c>
      <c r="N75" s="8" t="str">
        <f t="shared" si="76"/>
        <v>火</v>
      </c>
      <c r="O75" s="62" t="str">
        <f>IF(AND(M75&gt;=VLOOKUP(M75,データ!$E$3:$G$9,1,TRUE),M75&lt;=VLOOKUP(M75,データ!$E$3:$G$9,2,TRUE)),VLOOKUP(M75,データ!$E$3:$G$9,3,TRUE),"")</f>
        <v/>
      </c>
      <c r="P75" s="63" t="str">
        <f>IF(AND(M75&gt;=VLOOKUP(M75,データ!$E$14:$G$21,1,TRUE),M75&lt;=VLOOKUP(M75,データ!$E$14:$G$21,2,TRUE)),VLOOKUP(M75,データ!$E$14:$G$21,3,TRUE),"")</f>
        <v>テーマ展</v>
      </c>
      <c r="Q75" s="44" t="str">
        <f t="shared" si="77"/>
        <v>○</v>
      </c>
      <c r="R75" s="45"/>
      <c r="S75" s="10" t="str">
        <f t="shared" si="78"/>
        <v/>
      </c>
      <c r="T75" s="45"/>
      <c r="U75" s="10" t="str">
        <f t="shared" si="79"/>
        <v>●</v>
      </c>
      <c r="V75" s="32"/>
      <c r="W75" s="33" t="str">
        <f t="shared" si="80"/>
        <v/>
      </c>
      <c r="X75" s="8"/>
      <c r="Y75" s="33" t="str">
        <f t="shared" si="81"/>
        <v>○</v>
      </c>
      <c r="Z75" s="8">
        <f>IF(L75="閉","",(IF(AND(M75&gt;=VLOOKUP(M75,データ!$E$3:$G$9,1,TRUE),M75&lt;=VLOOKUP(M75,データ!$E$3:$G$9,2,TRUE)),VLOOKUP(M75,データ!$E$3:$H$9,4,TRUE),0)+IF(AND(M75&gt;=VLOOKUP(M75,データ!$E$14:$G$21,1,TRUE),M75&lt;=VLOOKUP(M75,データ!$E$14:$G$21,2,TRUE)),VLOOKUP(M75,データ!$E$14:$H$21,4,TRUE),0)))</f>
        <v>1</v>
      </c>
      <c r="AA75" s="33" t="str">
        <f t="shared" si="82"/>
        <v>△</v>
      </c>
      <c r="AB75" s="227">
        <f t="shared" si="83"/>
        <v>0.41666666666666669</v>
      </c>
      <c r="AC75" s="227">
        <f t="shared" si="84"/>
        <v>0.70833333333333337</v>
      </c>
      <c r="AD75" s="228" t="str">
        <f>IF(K75=1,IF(ISERROR(VLOOKUP(M75,データ!$A$3:$C$23,2,FALSE)),"",VLOOKUP(M75,データ!$A$3:$C$23,2,FALSE)),(IF(ISERROR(VLOOKUP(M75,データ!$A$3:$C$23,2,FALSE)),"",VLOOKUP(M75,データ!$A$3:$C$23,2,FALSE))))</f>
        <v/>
      </c>
    </row>
    <row r="76" spans="1:30">
      <c r="A76" s="1">
        <f>IF(AND(M76&gt;=VLOOKUP(M76,データ!$K$3:$O$6,1,TRUE),M76&lt;=VLOOKUP(M76,データ!$K$3:$O$6,2,TRUE)),VLOOKUP(M76,データ!$K$3:$O$6,5,TRUE),"")</f>
        <v>1</v>
      </c>
      <c r="B76" s="74">
        <f>IF(AND(M76&gt;=VLOOKUP(M76,データ!$K$3:$O$6,1,TRUE),M76&lt;=VLOOKUP(M76,データ!$K$3:$O$6,2,TRUE)),VLOOKUP(M76,データ!$K$3:$O$6,3,TRUE),"")</f>
        <v>0.41666666666666669</v>
      </c>
      <c r="C76" s="1">
        <f>IF(AND(M76&gt;=VLOOKUP(M76,データ!$K$11:$O$16,1,TRUE),M76&lt;=VLOOKUP(M76,データ!$K$11:$O$16,2,TRUE)),VLOOKUP(M76,データ!$K$11:$O$16,5,TRUE),0)</f>
        <v>0</v>
      </c>
      <c r="D76" s="74" t="str">
        <f>IF(AND(M76&gt;=VLOOKUP(M76,データ!$K$11:$O$16,1,TRUE),M76&lt;=VLOOKUP(M76,データ!$K$11:$O$16,2,TRUE)),VLOOKUP(M76,データ!$K$11:$O$16,3,TRUE),"")</f>
        <v/>
      </c>
      <c r="E76" s="74">
        <f t="shared" si="73"/>
        <v>0.41666666666666669</v>
      </c>
      <c r="F76" s="75">
        <f>VLOOKUP(E76,データ!$K$20:$O$24,5,FALSE)</f>
        <v>0</v>
      </c>
      <c r="G76" s="74">
        <f>IF(AND(M76&gt;=VLOOKUP(M76,データ!$K$3:$O$6,1,TRUE),M76&lt;=VLOOKUP(M76,データ!$K$3:$O$6,2,TRUE)),VLOOKUP(M76,データ!$K$3:$O$6,4,TRUE),"")</f>
        <v>0.70833333333333337</v>
      </c>
      <c r="H76" s="256">
        <f>INDEX(データ!L$21:N$24,MATCH(配置表!E76,データ!K$21:K$24,0),MATCH(配置表!G76,データ!L$20:N$20,0))</f>
        <v>1</v>
      </c>
      <c r="I76" s="52" t="str">
        <f>IF(ISERROR(VLOOKUP(M76,データ!$A$3:$C$20,3,FALSE)),"",VLOOKUP(M76,データ!$A$3:$C$20,3,FALSE))</f>
        <v/>
      </c>
      <c r="J76" s="52" t="str">
        <f t="shared" si="74"/>
        <v/>
      </c>
      <c r="K76" s="53">
        <f t="shared" si="85"/>
        <v>0</v>
      </c>
      <c r="L76" s="28" t="str">
        <f t="shared" si="75"/>
        <v/>
      </c>
      <c r="M76" s="9">
        <f t="shared" si="86"/>
        <v>45812</v>
      </c>
      <c r="N76" s="8" t="str">
        <f t="shared" si="76"/>
        <v>水</v>
      </c>
      <c r="O76" s="62" t="str">
        <f>IF(AND(M76&gt;=VLOOKUP(M76,データ!$E$3:$G$9,1,TRUE),M76&lt;=VLOOKUP(M76,データ!$E$3:$G$9,2,TRUE)),VLOOKUP(M76,データ!$E$3:$G$9,3,TRUE),"")</f>
        <v/>
      </c>
      <c r="P76" s="63" t="str">
        <f>IF(AND(M76&gt;=VLOOKUP(M76,データ!$E$14:$G$21,1,TRUE),M76&lt;=VLOOKUP(M76,データ!$E$14:$G$21,2,TRUE)),VLOOKUP(M76,データ!$E$14:$G$21,3,TRUE),"")</f>
        <v>テーマ展</v>
      </c>
      <c r="Q76" s="44" t="str">
        <f t="shared" si="77"/>
        <v>○</v>
      </c>
      <c r="R76" s="45"/>
      <c r="S76" s="10" t="str">
        <f t="shared" si="78"/>
        <v/>
      </c>
      <c r="T76" s="45"/>
      <c r="U76" s="10" t="str">
        <f t="shared" si="79"/>
        <v>●</v>
      </c>
      <c r="V76" s="32"/>
      <c r="W76" s="33" t="str">
        <f t="shared" si="80"/>
        <v/>
      </c>
      <c r="X76" s="8"/>
      <c r="Y76" s="33" t="str">
        <f t="shared" si="81"/>
        <v>○</v>
      </c>
      <c r="Z76" s="8">
        <f>IF(L76="閉","",(IF(AND(M76&gt;=VLOOKUP(M76,データ!$E$3:$G$9,1,TRUE),M76&lt;=VLOOKUP(M76,データ!$E$3:$G$9,2,TRUE)),VLOOKUP(M76,データ!$E$3:$H$9,4,TRUE),0)+IF(AND(M76&gt;=VLOOKUP(M76,データ!$E$14:$G$21,1,TRUE),M76&lt;=VLOOKUP(M76,データ!$E$14:$G$21,2,TRUE)),VLOOKUP(M76,データ!$E$14:$H$21,4,TRUE),0)))</f>
        <v>1</v>
      </c>
      <c r="AA76" s="33" t="str">
        <f t="shared" si="82"/>
        <v>△</v>
      </c>
      <c r="AB76" s="227">
        <f t="shared" si="83"/>
        <v>0.41666666666666669</v>
      </c>
      <c r="AC76" s="227">
        <f t="shared" si="84"/>
        <v>0.70833333333333337</v>
      </c>
      <c r="AD76" s="228" t="str">
        <f>IF(K76=1,IF(ISERROR(VLOOKUP(M76,データ!$A$3:$C$23,2,FALSE)),"",VLOOKUP(M76,データ!$A$3:$C$23,2,FALSE)),(IF(ISERROR(VLOOKUP(M76,データ!$A$3:$C$23,2,FALSE)),"",VLOOKUP(M76,データ!$A$3:$C$23,2,FALSE))))</f>
        <v/>
      </c>
    </row>
    <row r="77" spans="1:30">
      <c r="A77" s="1">
        <f>IF(AND(M77&gt;=VLOOKUP(M77,データ!$K$3:$O$6,1,TRUE),M77&lt;=VLOOKUP(M77,データ!$K$3:$O$6,2,TRUE)),VLOOKUP(M77,データ!$K$3:$O$6,5,TRUE),"")</f>
        <v>1</v>
      </c>
      <c r="B77" s="74">
        <f>IF(AND(M77&gt;=VLOOKUP(M77,データ!$K$3:$O$6,1,TRUE),M77&lt;=VLOOKUP(M77,データ!$K$3:$O$6,2,TRUE)),VLOOKUP(M77,データ!$K$3:$O$6,3,TRUE),"")</f>
        <v>0.41666666666666669</v>
      </c>
      <c r="C77" s="1">
        <f>IF(AND(M77&gt;=VLOOKUP(M77,データ!$K$11:$O$16,1,TRUE),M77&lt;=VLOOKUP(M77,データ!$K$11:$O$16,2,TRUE)),VLOOKUP(M77,データ!$K$11:$O$16,5,TRUE),0)</f>
        <v>0</v>
      </c>
      <c r="D77" s="74" t="str">
        <f>IF(AND(M77&gt;=VLOOKUP(M77,データ!$K$11:$O$16,1,TRUE),M77&lt;=VLOOKUP(M77,データ!$K$11:$O$16,2,TRUE)),VLOOKUP(M77,データ!$K$11:$O$16,3,TRUE),"")</f>
        <v/>
      </c>
      <c r="E77" s="74">
        <f t="shared" si="73"/>
        <v>0.41666666666666669</v>
      </c>
      <c r="F77" s="75">
        <f>VLOOKUP(E77,データ!$K$20:$O$24,5,FALSE)</f>
        <v>0</v>
      </c>
      <c r="G77" s="74">
        <f>IF(AND(M77&gt;=VLOOKUP(M77,データ!$K$3:$O$6,1,TRUE),M77&lt;=VLOOKUP(M77,データ!$K$3:$O$6,2,TRUE)),VLOOKUP(M77,データ!$K$3:$O$6,4,TRUE),"")</f>
        <v>0.70833333333333337</v>
      </c>
      <c r="H77" s="256">
        <f>INDEX(データ!L$21:N$24,MATCH(配置表!E77,データ!K$21:K$24,0),MATCH(配置表!G77,データ!L$20:N$20,0))</f>
        <v>1</v>
      </c>
      <c r="I77" s="52" t="str">
        <f>IF(ISERROR(VLOOKUP(M77,データ!$A$3:$C$20,3,FALSE)),"",VLOOKUP(M77,データ!$A$3:$C$20,3,FALSE))</f>
        <v/>
      </c>
      <c r="J77" s="52" t="str">
        <f t="shared" si="74"/>
        <v/>
      </c>
      <c r="K77" s="53">
        <f t="shared" si="85"/>
        <v>0</v>
      </c>
      <c r="L77" s="28" t="str">
        <f t="shared" si="75"/>
        <v/>
      </c>
      <c r="M77" s="9">
        <f t="shared" si="86"/>
        <v>45813</v>
      </c>
      <c r="N77" s="8" t="str">
        <f t="shared" si="76"/>
        <v>木</v>
      </c>
      <c r="O77" s="62" t="str">
        <f>IF(AND(M77&gt;=VLOOKUP(M77,データ!$E$3:$G$9,1,TRUE),M77&lt;=VLOOKUP(M77,データ!$E$3:$G$9,2,TRUE)),VLOOKUP(M77,データ!$E$3:$G$9,3,TRUE),"")</f>
        <v/>
      </c>
      <c r="P77" s="63" t="str">
        <f>IF(AND(M77&gt;=VLOOKUP(M77,データ!$E$14:$G$21,1,TRUE),M77&lt;=VLOOKUP(M77,データ!$E$14:$G$21,2,TRUE)),VLOOKUP(M77,データ!$E$14:$G$21,3,TRUE),"")</f>
        <v>テーマ展</v>
      </c>
      <c r="Q77" s="44" t="str">
        <f t="shared" si="77"/>
        <v>○</v>
      </c>
      <c r="R77" s="45"/>
      <c r="S77" s="10" t="str">
        <f t="shared" si="78"/>
        <v/>
      </c>
      <c r="T77" s="45"/>
      <c r="U77" s="10" t="str">
        <f t="shared" si="79"/>
        <v>●</v>
      </c>
      <c r="V77" s="32"/>
      <c r="W77" s="33" t="str">
        <f t="shared" si="80"/>
        <v/>
      </c>
      <c r="X77" s="8"/>
      <c r="Y77" s="33" t="str">
        <f t="shared" si="81"/>
        <v>○</v>
      </c>
      <c r="Z77" s="8">
        <f>IF(L77="閉","",(IF(AND(M77&gt;=VLOOKUP(M77,データ!$E$3:$G$9,1,TRUE),M77&lt;=VLOOKUP(M77,データ!$E$3:$G$9,2,TRUE)),VLOOKUP(M77,データ!$E$3:$H$9,4,TRUE),0)+IF(AND(M77&gt;=VLOOKUP(M77,データ!$E$14:$G$21,1,TRUE),M77&lt;=VLOOKUP(M77,データ!$E$14:$G$21,2,TRUE)),VLOOKUP(M77,データ!$E$14:$H$21,4,TRUE),0)))</f>
        <v>1</v>
      </c>
      <c r="AA77" s="33" t="str">
        <f t="shared" si="82"/>
        <v>△</v>
      </c>
      <c r="AB77" s="227">
        <f t="shared" si="83"/>
        <v>0.41666666666666669</v>
      </c>
      <c r="AC77" s="227">
        <f t="shared" si="84"/>
        <v>0.70833333333333337</v>
      </c>
      <c r="AD77" s="228" t="str">
        <f>IF(K77=1,IF(ISERROR(VLOOKUP(M77,データ!$A$3:$C$23,2,FALSE)),"",VLOOKUP(M77,データ!$A$3:$C$23,2,FALSE)),(IF(ISERROR(VLOOKUP(M77,データ!$A$3:$C$23,2,FALSE)),"",VLOOKUP(M77,データ!$A$3:$C$23,2,FALSE))))</f>
        <v/>
      </c>
    </row>
    <row r="78" spans="1:30">
      <c r="A78" s="1">
        <f>IF(AND(M78&gt;=VLOOKUP(M78,データ!$K$3:$O$6,1,TRUE),M78&lt;=VLOOKUP(M78,データ!$K$3:$O$6,2,TRUE)),VLOOKUP(M78,データ!$K$3:$O$6,5,TRUE),"")</f>
        <v>1</v>
      </c>
      <c r="B78" s="74">
        <f>IF(AND(M78&gt;=VLOOKUP(M78,データ!$K$3:$O$6,1,TRUE),M78&lt;=VLOOKUP(M78,データ!$K$3:$O$6,2,TRUE)),VLOOKUP(M78,データ!$K$3:$O$6,3,TRUE),"")</f>
        <v>0.41666666666666669</v>
      </c>
      <c r="C78" s="1">
        <f>IF(AND(M78&gt;=VLOOKUP(M78,データ!$K$11:$O$16,1,TRUE),M78&lt;=VLOOKUP(M78,データ!$K$11:$O$16,2,TRUE)),VLOOKUP(M78,データ!$K$11:$O$16,5,TRUE),0)</f>
        <v>0</v>
      </c>
      <c r="D78" s="74" t="str">
        <f>IF(AND(M78&gt;=VLOOKUP(M78,データ!$K$11:$O$16,1,TRUE),M78&lt;=VLOOKUP(M78,データ!$K$11:$O$16,2,TRUE)),VLOOKUP(M78,データ!$K$11:$O$16,3,TRUE),"")</f>
        <v/>
      </c>
      <c r="E78" s="74">
        <f t="shared" si="73"/>
        <v>0.41666666666666669</v>
      </c>
      <c r="F78" s="75">
        <f>VLOOKUP(E78,データ!$K$20:$O$24,5,FALSE)</f>
        <v>0</v>
      </c>
      <c r="G78" s="74">
        <f>IF(AND(M78&gt;=VLOOKUP(M78,データ!$K$3:$O$6,1,TRUE),M78&lt;=VLOOKUP(M78,データ!$K$3:$O$6,2,TRUE)),VLOOKUP(M78,データ!$K$3:$O$6,4,TRUE),"")</f>
        <v>0.70833333333333337</v>
      </c>
      <c r="H78" s="256">
        <f>INDEX(データ!L$21:N$24,MATCH(配置表!E78,データ!K$21:K$24,0),MATCH(配置表!G78,データ!L$20:N$20,0))</f>
        <v>1</v>
      </c>
      <c r="I78" s="52" t="str">
        <f>IF(ISERROR(VLOOKUP(M78,データ!$A$3:$C$20,3,FALSE)),"",VLOOKUP(M78,データ!$A$3:$C$20,3,FALSE))</f>
        <v/>
      </c>
      <c r="J78" s="52" t="str">
        <f t="shared" si="74"/>
        <v/>
      </c>
      <c r="K78" s="53">
        <f t="shared" si="85"/>
        <v>0</v>
      </c>
      <c r="L78" s="28" t="str">
        <f t="shared" si="75"/>
        <v/>
      </c>
      <c r="M78" s="9">
        <f t="shared" si="86"/>
        <v>45814</v>
      </c>
      <c r="N78" s="8" t="str">
        <f t="shared" si="76"/>
        <v>金</v>
      </c>
      <c r="O78" s="62" t="str">
        <f>IF(AND(M78&gt;=VLOOKUP(M78,データ!$E$3:$G$9,1,TRUE),M78&lt;=VLOOKUP(M78,データ!$E$3:$G$9,2,TRUE)),VLOOKUP(M78,データ!$E$3:$G$9,3,TRUE),"")</f>
        <v/>
      </c>
      <c r="P78" s="63" t="str">
        <f>IF(AND(M78&gt;=VLOOKUP(M78,データ!$E$14:$G$21,1,TRUE),M78&lt;=VLOOKUP(M78,データ!$E$14:$G$21,2,TRUE)),VLOOKUP(M78,データ!$E$14:$G$21,3,TRUE),"")</f>
        <v>テーマ展</v>
      </c>
      <c r="Q78" s="44" t="str">
        <f t="shared" si="77"/>
        <v>○</v>
      </c>
      <c r="R78" s="45"/>
      <c r="S78" s="10" t="str">
        <f t="shared" si="78"/>
        <v/>
      </c>
      <c r="T78" s="45"/>
      <c r="U78" s="10" t="str">
        <f t="shared" si="79"/>
        <v>●</v>
      </c>
      <c r="V78" s="32"/>
      <c r="W78" s="33" t="str">
        <f t="shared" si="80"/>
        <v/>
      </c>
      <c r="X78" s="8"/>
      <c r="Y78" s="33" t="str">
        <f t="shared" si="81"/>
        <v>○</v>
      </c>
      <c r="Z78" s="8">
        <f>IF(L78="閉","",(IF(AND(M78&gt;=VLOOKUP(M78,データ!$E$3:$G$9,1,TRUE),M78&lt;=VLOOKUP(M78,データ!$E$3:$G$9,2,TRUE)),VLOOKUP(M78,データ!$E$3:$H$9,4,TRUE),0)+IF(AND(M78&gt;=VLOOKUP(M78,データ!$E$14:$G$21,1,TRUE),M78&lt;=VLOOKUP(M78,データ!$E$14:$G$21,2,TRUE)),VLOOKUP(M78,データ!$E$14:$H$21,4,TRUE),0)))</f>
        <v>1</v>
      </c>
      <c r="AA78" s="33" t="str">
        <f t="shared" si="82"/>
        <v>△</v>
      </c>
      <c r="AB78" s="227">
        <f t="shared" si="83"/>
        <v>0.41666666666666669</v>
      </c>
      <c r="AC78" s="227">
        <f t="shared" si="84"/>
        <v>0.70833333333333337</v>
      </c>
      <c r="AD78" s="228" t="str">
        <f>IF(K78=1,IF(ISERROR(VLOOKUP(M78,データ!$A$3:$C$23,2,FALSE)),"",VLOOKUP(M78,データ!$A$3:$C$23,2,FALSE)),(IF(ISERROR(VLOOKUP(M78,データ!$A$3:$C$23,2,FALSE)),"",VLOOKUP(M78,データ!$A$3:$C$23,2,FALSE))))</f>
        <v/>
      </c>
    </row>
    <row r="79" spans="1:30">
      <c r="A79" s="1">
        <f>IF(AND(M79&gt;=VLOOKUP(M79,データ!$K$3:$O$6,1,TRUE),M79&lt;=VLOOKUP(M79,データ!$K$3:$O$6,2,TRUE)),VLOOKUP(M79,データ!$K$3:$O$6,5,TRUE),"")</f>
        <v>1</v>
      </c>
      <c r="B79" s="74">
        <f>IF(AND(M79&gt;=VLOOKUP(M79,データ!$K$3:$O$6,1,TRUE),M79&lt;=VLOOKUP(M79,データ!$K$3:$O$6,2,TRUE)),VLOOKUP(M79,データ!$K$3:$O$6,3,TRUE),"")</f>
        <v>0.41666666666666669</v>
      </c>
      <c r="C79" s="1">
        <f>IF(AND(M79&gt;=VLOOKUP(M79,データ!$K$11:$O$16,1,TRUE),M79&lt;=VLOOKUP(M79,データ!$K$11:$O$16,2,TRUE)),VLOOKUP(M79,データ!$K$11:$O$16,5,TRUE),0)</f>
        <v>0</v>
      </c>
      <c r="D79" s="74" t="str">
        <f>IF(AND(M79&gt;=VLOOKUP(M79,データ!$K$11:$O$16,1,TRUE),M79&lt;=VLOOKUP(M79,データ!$K$11:$O$16,2,TRUE)),VLOOKUP(M79,データ!$K$11:$O$16,3,TRUE),"")</f>
        <v/>
      </c>
      <c r="E79" s="74">
        <f t="shared" si="73"/>
        <v>0.41666666666666669</v>
      </c>
      <c r="F79" s="75">
        <f>VLOOKUP(E79,データ!$K$20:$O$24,5,FALSE)</f>
        <v>0</v>
      </c>
      <c r="G79" s="74">
        <f>IF(AND(M79&gt;=VLOOKUP(M79,データ!$K$3:$O$6,1,TRUE),M79&lt;=VLOOKUP(M79,データ!$K$3:$O$6,2,TRUE)),VLOOKUP(M79,データ!$K$3:$O$6,4,TRUE),"")</f>
        <v>0.70833333333333337</v>
      </c>
      <c r="H79" s="256">
        <f>INDEX(データ!L$21:N$24,MATCH(配置表!E79,データ!K$21:K$24,0),MATCH(配置表!G79,データ!L$20:N$20,0))</f>
        <v>1</v>
      </c>
      <c r="I79" s="52" t="str">
        <f>IF(ISERROR(VLOOKUP(M79,データ!$A$3:$C$20,3,FALSE)),"",VLOOKUP(M79,データ!$A$3:$C$20,3,FALSE))</f>
        <v/>
      </c>
      <c r="J79" s="52" t="str">
        <f t="shared" si="74"/>
        <v/>
      </c>
      <c r="K79" s="53">
        <f t="shared" si="85"/>
        <v>0</v>
      </c>
      <c r="L79" s="28" t="str">
        <f t="shared" si="75"/>
        <v/>
      </c>
      <c r="M79" s="9">
        <f t="shared" si="86"/>
        <v>45815</v>
      </c>
      <c r="N79" s="8" t="str">
        <f t="shared" si="76"/>
        <v>土</v>
      </c>
      <c r="O79" s="62" t="str">
        <f>IF(AND(M79&gt;=VLOOKUP(M79,データ!$E$3:$G$9,1,TRUE),M79&lt;=VLOOKUP(M79,データ!$E$3:$G$9,2,TRUE)),VLOOKUP(M79,データ!$E$3:$G$9,3,TRUE),"")</f>
        <v>夏　特別展</v>
      </c>
      <c r="P79" s="63" t="str">
        <f>IF(AND(M79&gt;=VLOOKUP(M79,データ!$E$14:$G$21,1,TRUE),M79&lt;=VLOOKUP(M79,データ!$E$14:$G$21,2,TRUE)),VLOOKUP(M79,データ!$E$14:$G$21,3,TRUE),"")</f>
        <v>テーマ展</v>
      </c>
      <c r="Q79" s="44" t="str">
        <f t="shared" si="77"/>
        <v>○</v>
      </c>
      <c r="R79" s="45"/>
      <c r="S79" s="10" t="str">
        <f t="shared" si="78"/>
        <v>○</v>
      </c>
      <c r="T79" s="45"/>
      <c r="U79" s="33" t="str">
        <f t="shared" si="79"/>
        <v>●</v>
      </c>
      <c r="V79" s="32"/>
      <c r="W79" s="33" t="str">
        <f t="shared" ref="W79:W80" si="87">IF(L79="閉","休",IF(O79="","",IF(OR(N79="土",N79="日",I79=1),IF(OR(O79="ダミー　特別展",O79="ダミー　特別展"),"◎",IF(OR(O79="夏　特別展",O79="秋　特別展",O79="春　特別展"),"◎","")),"")))</f>
        <v>◎</v>
      </c>
      <c r="X79" s="8"/>
      <c r="Y79" s="33" t="str">
        <f t="shared" si="81"/>
        <v>○</v>
      </c>
      <c r="Z79" s="8">
        <f>IF(L79="閉","",(IF(AND(M79&gt;=VLOOKUP(M79,データ!$E$3:$G$9,1,TRUE),M79&lt;=VLOOKUP(M79,データ!$E$3:$G$9,2,TRUE)),VLOOKUP(M79,データ!$E$3:$H$9,4,TRUE),0)+IF(AND(M79&gt;=VLOOKUP(M79,データ!$E$14:$G$21,1,TRUE),M79&lt;=VLOOKUP(M79,データ!$E$14:$G$21,2,TRUE)),VLOOKUP(M79,データ!$E$14:$H$21,4,TRUE),0)))</f>
        <v>5</v>
      </c>
      <c r="AA79" s="33" t="str">
        <f t="shared" si="82"/>
        <v>○</v>
      </c>
      <c r="AB79" s="227">
        <f t="shared" si="83"/>
        <v>0.41666666666666669</v>
      </c>
      <c r="AC79" s="227">
        <f t="shared" si="84"/>
        <v>0.70833333333333337</v>
      </c>
      <c r="AD79" s="228" t="str">
        <f>IF(K79=1,IF(ISERROR(VLOOKUP(M79,データ!$A$3:$C$23,2,FALSE)),"",VLOOKUP(M79,データ!$A$3:$C$23,2,FALSE)),(IF(ISERROR(VLOOKUP(M79,データ!$A$3:$C$23,2,FALSE)),"",VLOOKUP(M79,データ!$A$3:$C$23,2,FALSE))))</f>
        <v/>
      </c>
    </row>
    <row r="80" spans="1:30">
      <c r="A80" s="1">
        <f>IF(AND(M80&gt;=VLOOKUP(M80,データ!$K$3:$O$6,1,TRUE),M80&lt;=VLOOKUP(M80,データ!$K$3:$O$6,2,TRUE)),VLOOKUP(M80,データ!$K$3:$O$6,5,TRUE),"")</f>
        <v>1</v>
      </c>
      <c r="B80" s="74">
        <f>IF(AND(M80&gt;=VLOOKUP(M80,データ!$K$3:$O$6,1,TRUE),M80&lt;=VLOOKUP(M80,データ!$K$3:$O$6,2,TRUE)),VLOOKUP(M80,データ!$K$3:$O$6,3,TRUE),"")</f>
        <v>0.41666666666666669</v>
      </c>
      <c r="C80" s="1">
        <f>IF(AND(M80&gt;=VLOOKUP(M80,データ!$K$11:$O$16,1,TRUE),M80&lt;=VLOOKUP(M80,データ!$K$11:$O$16,2,TRUE)),VLOOKUP(M80,データ!$K$11:$O$16,5,TRUE),0)</f>
        <v>0</v>
      </c>
      <c r="D80" s="74" t="str">
        <f>IF(AND(M80&gt;=VLOOKUP(M80,データ!$K$11:$O$16,1,TRUE),M80&lt;=VLOOKUP(M80,データ!$K$11:$O$16,2,TRUE)),VLOOKUP(M80,データ!$K$11:$O$16,3,TRUE),"")</f>
        <v/>
      </c>
      <c r="E80" s="74">
        <f t="shared" si="73"/>
        <v>0.41666666666666669</v>
      </c>
      <c r="F80" s="75">
        <f>VLOOKUP(E80,データ!$K$20:$O$24,5,FALSE)</f>
        <v>0</v>
      </c>
      <c r="G80" s="74">
        <f>IF(AND(M80&gt;=VLOOKUP(M80,データ!$K$3:$O$6,1,TRUE),M80&lt;=VLOOKUP(M80,データ!$K$3:$O$6,2,TRUE)),VLOOKUP(M80,データ!$K$3:$O$6,4,TRUE),"")</f>
        <v>0.70833333333333337</v>
      </c>
      <c r="H80" s="256">
        <f>INDEX(データ!L$21:N$24,MATCH(配置表!E80,データ!K$21:K$24,0),MATCH(配置表!G80,データ!L$20:N$20,0))</f>
        <v>1</v>
      </c>
      <c r="I80" s="52" t="str">
        <f>IF(ISERROR(VLOOKUP(M80,データ!$A$3:$C$20,3,FALSE)),"",VLOOKUP(M80,データ!$A$3:$C$20,3,FALSE))</f>
        <v/>
      </c>
      <c r="J80" s="52" t="str">
        <f t="shared" si="74"/>
        <v/>
      </c>
      <c r="K80" s="53">
        <f t="shared" si="85"/>
        <v>0</v>
      </c>
      <c r="L80" s="28" t="str">
        <f t="shared" si="75"/>
        <v/>
      </c>
      <c r="M80" s="9">
        <f t="shared" si="86"/>
        <v>45816</v>
      </c>
      <c r="N80" s="8" t="str">
        <f t="shared" si="76"/>
        <v>日</v>
      </c>
      <c r="O80" s="62" t="str">
        <f>IF(AND(M80&gt;=VLOOKUP(M80,データ!$E$3:$G$9,1,TRUE),M80&lt;=VLOOKUP(M80,データ!$E$3:$G$9,2,TRUE)),VLOOKUP(M80,データ!$E$3:$G$9,3,TRUE),"")</f>
        <v>夏　特別展</v>
      </c>
      <c r="P80" s="63" t="str">
        <f>IF(AND(M80&gt;=VLOOKUP(M80,データ!$E$14:$G$21,1,TRUE),M80&lt;=VLOOKUP(M80,データ!$E$14:$G$21,2,TRUE)),VLOOKUP(M80,データ!$E$14:$G$21,3,TRUE),"")</f>
        <v>テーマ展</v>
      </c>
      <c r="Q80" s="44" t="str">
        <f t="shared" si="77"/>
        <v>○</v>
      </c>
      <c r="R80" s="45"/>
      <c r="S80" s="10" t="str">
        <f t="shared" si="78"/>
        <v>○</v>
      </c>
      <c r="T80" s="45"/>
      <c r="U80" s="33" t="str">
        <f t="shared" si="79"/>
        <v>●</v>
      </c>
      <c r="V80" s="32"/>
      <c r="W80" s="33" t="str">
        <f t="shared" si="87"/>
        <v>◎</v>
      </c>
      <c r="X80" s="8"/>
      <c r="Y80" s="33" t="str">
        <f t="shared" si="81"/>
        <v>○</v>
      </c>
      <c r="Z80" s="8">
        <f>IF(L80="閉","",(IF(AND(M80&gt;=VLOOKUP(M80,データ!$E$3:$G$9,1,TRUE),M80&lt;=VLOOKUP(M80,データ!$E$3:$G$9,2,TRUE)),VLOOKUP(M80,データ!$E$3:$H$9,4,TRUE),0)+IF(AND(M80&gt;=VLOOKUP(M80,データ!$E$14:$G$21,1,TRUE),M80&lt;=VLOOKUP(M80,データ!$E$14:$G$21,2,TRUE)),VLOOKUP(M80,データ!$E$14:$H$21,4,TRUE),0)))</f>
        <v>5</v>
      </c>
      <c r="AA80" s="33" t="str">
        <f t="shared" si="82"/>
        <v>○</v>
      </c>
      <c r="AB80" s="227">
        <f t="shared" si="83"/>
        <v>0.41666666666666669</v>
      </c>
      <c r="AC80" s="227">
        <f t="shared" si="84"/>
        <v>0.70833333333333337</v>
      </c>
      <c r="AD80" s="228" t="str">
        <f>IF(K80=1,IF(ISERROR(VLOOKUP(M80,データ!$A$3:$C$23,2,FALSE)),"",VLOOKUP(M80,データ!$A$3:$C$23,2,FALSE)),(IF(ISERROR(VLOOKUP(M80,データ!$A$3:$C$23,2,FALSE)),"",VLOOKUP(M80,データ!$A$3:$C$23,2,FALSE))))</f>
        <v/>
      </c>
    </row>
    <row r="81" spans="1:30">
      <c r="A81" s="1">
        <f>IF(AND(M81&gt;=VLOOKUP(M81,データ!$K$3:$O$6,1,TRUE),M81&lt;=VLOOKUP(M81,データ!$K$3:$O$6,2,TRUE)),VLOOKUP(M81,データ!$K$3:$O$6,5,TRUE),"")</f>
        <v>1</v>
      </c>
      <c r="B81" s="74">
        <f>IF(AND(M81&gt;=VLOOKUP(M81,データ!$K$3:$O$6,1,TRUE),M81&lt;=VLOOKUP(M81,データ!$K$3:$O$6,2,TRUE)),VLOOKUP(M81,データ!$K$3:$O$6,3,TRUE),"")</f>
        <v>0.41666666666666669</v>
      </c>
      <c r="C81" s="1">
        <f>IF(AND(M81&gt;=VLOOKUP(M81,データ!$K$11:$O$16,1,TRUE),M81&lt;=VLOOKUP(M81,データ!$K$11:$O$16,2,TRUE)),VLOOKUP(M81,データ!$K$11:$O$16,5,TRUE),0)</f>
        <v>0</v>
      </c>
      <c r="D81" s="74" t="str">
        <f>IF(AND(M81&gt;=VLOOKUP(M81,データ!$K$11:$O$16,1,TRUE),M81&lt;=VLOOKUP(M81,データ!$K$11:$O$16,2,TRUE)),VLOOKUP(M81,データ!$K$11:$O$16,3,TRUE),"")</f>
        <v/>
      </c>
      <c r="E81" s="74">
        <f t="shared" si="73"/>
        <v>0.41666666666666669</v>
      </c>
      <c r="F81" s="75">
        <f>VLOOKUP(E81,データ!$K$20:$O$24,5,FALSE)</f>
        <v>0</v>
      </c>
      <c r="G81" s="74">
        <f>IF(AND(M81&gt;=VLOOKUP(M81,データ!$K$3:$O$6,1,TRUE),M81&lt;=VLOOKUP(M81,データ!$K$3:$O$6,2,TRUE)),VLOOKUP(M81,データ!$K$3:$O$6,4,TRUE),"")</f>
        <v>0.70833333333333337</v>
      </c>
      <c r="H81" s="256">
        <f>INDEX(データ!L$21:N$24,MATCH(配置表!E81,データ!K$21:K$24,0),MATCH(配置表!G81,データ!L$20:N$20,0))</f>
        <v>1</v>
      </c>
      <c r="I81" s="52" t="str">
        <f>IF(ISERROR(VLOOKUP(M81,データ!$A$3:$C$20,3,FALSE)),"",VLOOKUP(M81,データ!$A$3:$C$20,3,FALSE))</f>
        <v/>
      </c>
      <c r="J81" s="52">
        <f t="shared" si="74"/>
        <v>1</v>
      </c>
      <c r="K81" s="53">
        <f t="shared" si="85"/>
        <v>1</v>
      </c>
      <c r="L81" s="28" t="str">
        <f t="shared" si="75"/>
        <v>閉</v>
      </c>
      <c r="M81" s="9">
        <f t="shared" si="86"/>
        <v>45817</v>
      </c>
      <c r="N81" s="8" t="str">
        <f t="shared" si="76"/>
        <v>月</v>
      </c>
      <c r="O81" s="62" t="str">
        <f>IF(AND(M81&gt;=VLOOKUP(M81,データ!$E$3:$G$9,1,TRUE),M81&lt;=VLOOKUP(M81,データ!$E$3:$G$9,2,TRUE)),VLOOKUP(M81,データ!$E$3:$G$9,3,TRUE),"")</f>
        <v>夏　特別展</v>
      </c>
      <c r="P81" s="63" t="str">
        <f>IF(AND(M81&gt;=VLOOKUP(M81,データ!$E$14:$G$21,1,TRUE),M81&lt;=VLOOKUP(M81,データ!$E$14:$G$21,2,TRUE)),VLOOKUP(M81,データ!$E$14:$G$21,3,TRUE),"")</f>
        <v>テーマ展</v>
      </c>
      <c r="Q81" s="44" t="str">
        <f t="shared" si="77"/>
        <v>休</v>
      </c>
      <c r="R81" s="8"/>
      <c r="S81" s="33" t="str">
        <f t="shared" si="78"/>
        <v>休</v>
      </c>
      <c r="T81" s="8"/>
      <c r="U81" s="33" t="str">
        <f t="shared" si="79"/>
        <v>休</v>
      </c>
      <c r="V81" s="8"/>
      <c r="W81" s="33" t="str">
        <f t="shared" si="80"/>
        <v>休</v>
      </c>
      <c r="X81" s="8"/>
      <c r="Y81" s="33" t="str">
        <f t="shared" si="81"/>
        <v>休</v>
      </c>
      <c r="Z81" s="8" t="str">
        <f>IF(L81="閉","",(IF(AND(M81&gt;=VLOOKUP(M81,データ!$E$3:$G$9,1,TRUE),M81&lt;=VLOOKUP(M81,データ!$E$3:$G$9,2,TRUE)),VLOOKUP(M81,データ!$E$3:$H$9,4,TRUE),0)+IF(AND(M81&gt;=VLOOKUP(M81,データ!$E$14:$G$21,1,TRUE),M81&lt;=VLOOKUP(M81,データ!$E$14:$G$21,2,TRUE)),VLOOKUP(M81,データ!$E$14:$H$21,4,TRUE),0)))</f>
        <v/>
      </c>
      <c r="AA81" s="33" t="str">
        <f t="shared" si="82"/>
        <v>休</v>
      </c>
      <c r="AB81" s="227" t="str">
        <f t="shared" si="83"/>
        <v/>
      </c>
      <c r="AC81" s="227" t="str">
        <f t="shared" si="84"/>
        <v/>
      </c>
      <c r="AD81" s="228" t="str">
        <f>IF(K81=1,IF(ISERROR(VLOOKUP(M81,データ!$A$3:$C$23,2,FALSE)),"",VLOOKUP(M81,データ!$A$3:$C$23,2,FALSE)),(IF(ISERROR(VLOOKUP(M81,データ!$A$3:$C$23,2,FALSE)),"",VLOOKUP(M81,データ!$A$3:$C$23,2,FALSE))))</f>
        <v/>
      </c>
    </row>
    <row r="82" spans="1:30">
      <c r="A82" s="1">
        <f>IF(AND(M82&gt;=VLOOKUP(M82,データ!$K$3:$O$6,1,TRUE),M82&lt;=VLOOKUP(M82,データ!$K$3:$O$6,2,TRUE)),VLOOKUP(M82,データ!$K$3:$O$6,5,TRUE),"")</f>
        <v>1</v>
      </c>
      <c r="B82" s="74">
        <f>IF(AND(M82&gt;=VLOOKUP(M82,データ!$K$3:$O$6,1,TRUE),M82&lt;=VLOOKUP(M82,データ!$K$3:$O$6,2,TRUE)),VLOOKUP(M82,データ!$K$3:$O$6,3,TRUE),"")</f>
        <v>0.41666666666666669</v>
      </c>
      <c r="C82" s="1">
        <f>IF(AND(M82&gt;=VLOOKUP(M82,データ!$K$11:$O$16,1,TRUE),M82&lt;=VLOOKUP(M82,データ!$K$11:$O$16,2,TRUE)),VLOOKUP(M82,データ!$K$11:$O$16,5,TRUE),0)</f>
        <v>0</v>
      </c>
      <c r="D82" s="74" t="str">
        <f>IF(AND(M82&gt;=VLOOKUP(M82,データ!$K$11:$O$16,1,TRUE),M82&lt;=VLOOKUP(M82,データ!$K$11:$O$16,2,TRUE)),VLOOKUP(M82,データ!$K$11:$O$16,3,TRUE),"")</f>
        <v/>
      </c>
      <c r="E82" s="74">
        <f t="shared" si="73"/>
        <v>0.41666666666666669</v>
      </c>
      <c r="F82" s="75">
        <f>VLOOKUP(E82,データ!$K$20:$O$24,5,FALSE)</f>
        <v>0</v>
      </c>
      <c r="G82" s="74">
        <f>IF(AND(M82&gt;=VLOOKUP(M82,データ!$K$3:$O$6,1,TRUE),M82&lt;=VLOOKUP(M82,データ!$K$3:$O$6,2,TRUE)),VLOOKUP(M82,データ!$K$3:$O$6,4,TRUE),"")</f>
        <v>0.70833333333333337</v>
      </c>
      <c r="H82" s="256">
        <f>INDEX(データ!L$21:N$24,MATCH(配置表!E82,データ!K$21:K$24,0),MATCH(配置表!G82,データ!L$20:N$20,0))</f>
        <v>1</v>
      </c>
      <c r="I82" s="52" t="str">
        <f>IF(ISERROR(VLOOKUP(M82,データ!$A$3:$C$20,3,FALSE)),"",VLOOKUP(M82,データ!$A$3:$C$20,3,FALSE))</f>
        <v/>
      </c>
      <c r="J82" s="52" t="str">
        <f t="shared" si="74"/>
        <v/>
      </c>
      <c r="K82" s="53">
        <f t="shared" si="85"/>
        <v>0</v>
      </c>
      <c r="L82" s="28" t="str">
        <f t="shared" si="75"/>
        <v/>
      </c>
      <c r="M82" s="9">
        <f t="shared" si="86"/>
        <v>45818</v>
      </c>
      <c r="N82" s="8" t="str">
        <f t="shared" si="76"/>
        <v>火</v>
      </c>
      <c r="O82" s="62" t="str">
        <f>IF(AND(M82&gt;=VLOOKUP(M82,データ!$E$3:$G$9,1,TRUE),M82&lt;=VLOOKUP(M82,データ!$E$3:$G$9,2,TRUE)),VLOOKUP(M82,データ!$E$3:$G$9,3,TRUE),"")</f>
        <v>夏　特別展</v>
      </c>
      <c r="P82" s="63" t="str">
        <f>IF(AND(M82&gt;=VLOOKUP(M82,データ!$E$14:$G$21,1,TRUE),M82&lt;=VLOOKUP(M82,データ!$E$14:$G$21,2,TRUE)),VLOOKUP(M82,データ!$E$14:$G$21,3,TRUE),"")</f>
        <v>テーマ展</v>
      </c>
      <c r="Q82" s="44" t="str">
        <f t="shared" si="77"/>
        <v>○</v>
      </c>
      <c r="R82" s="45"/>
      <c r="S82" s="33" t="str">
        <f t="shared" ref="S82:S85" si="88">IF(H82="閉","休",IF(K82="","",IF(OR(J82="土",J82="日",E82=1),IF(OR(K82="ダミー　特別展",K82="ダミー　特別展"),"◎",IF(OR(K82="夏　特別展",K82="秋　特別展",K82="春　特別展"),"○","")),"")))</f>
        <v/>
      </c>
      <c r="T82" s="45"/>
      <c r="U82" s="33" t="str">
        <f t="shared" si="79"/>
        <v>●</v>
      </c>
      <c r="V82" s="32"/>
      <c r="W82" s="33" t="str">
        <f t="shared" ref="W82:W85" si="89">IF(P82="閉","休",IF(O82="","",IF(O82="冬　特別展",IF(OR(N82="土",N82="日",M82=1),"○",""),"○")))</f>
        <v>○</v>
      </c>
      <c r="X82" s="8"/>
      <c r="Y82" s="33" t="str">
        <f t="shared" si="81"/>
        <v>○</v>
      </c>
      <c r="Z82" s="8">
        <f>IF(L82="閉","",(IF(AND(M82&gt;=VLOOKUP(M82,データ!$E$3:$G$9,1,TRUE),M82&lt;=VLOOKUP(M82,データ!$E$3:$G$9,2,TRUE)),VLOOKUP(M82,データ!$E$3:$H$9,4,TRUE),0)+IF(AND(M82&gt;=VLOOKUP(M82,データ!$E$14:$G$21,1,TRUE),M82&lt;=VLOOKUP(M82,データ!$E$14:$G$21,2,TRUE)),VLOOKUP(M82,データ!$E$14:$H$21,4,TRUE),0)))</f>
        <v>5</v>
      </c>
      <c r="AA82" s="33" t="str">
        <f t="shared" si="82"/>
        <v>○</v>
      </c>
      <c r="AB82" s="227">
        <f t="shared" si="83"/>
        <v>0.41666666666666669</v>
      </c>
      <c r="AC82" s="227">
        <f t="shared" si="84"/>
        <v>0.70833333333333337</v>
      </c>
      <c r="AD82" s="228" t="str">
        <f>IF(K82=1,IF(ISERROR(VLOOKUP(M82,データ!$A$3:$C$23,2,FALSE)),"",VLOOKUP(M82,データ!$A$3:$C$23,2,FALSE)),(IF(ISERROR(VLOOKUP(M82,データ!$A$3:$C$23,2,FALSE)),"",VLOOKUP(M82,データ!$A$3:$C$23,2,FALSE))))</f>
        <v/>
      </c>
    </row>
    <row r="83" spans="1:30">
      <c r="A83" s="1">
        <f>IF(AND(M83&gt;=VLOOKUP(M83,データ!$K$3:$O$6,1,TRUE),M83&lt;=VLOOKUP(M83,データ!$K$3:$O$6,2,TRUE)),VLOOKUP(M83,データ!$K$3:$O$6,5,TRUE),"")</f>
        <v>1</v>
      </c>
      <c r="B83" s="74">
        <f>IF(AND(M83&gt;=VLOOKUP(M83,データ!$K$3:$O$6,1,TRUE),M83&lt;=VLOOKUP(M83,データ!$K$3:$O$6,2,TRUE)),VLOOKUP(M83,データ!$K$3:$O$6,3,TRUE),"")</f>
        <v>0.41666666666666669</v>
      </c>
      <c r="C83" s="1">
        <f>IF(AND(M83&gt;=VLOOKUP(M83,データ!$K$11:$O$16,1,TRUE),M83&lt;=VLOOKUP(M83,データ!$K$11:$O$16,2,TRUE)),VLOOKUP(M83,データ!$K$11:$O$16,5,TRUE),0)</f>
        <v>0</v>
      </c>
      <c r="D83" s="74" t="str">
        <f>IF(AND(M83&gt;=VLOOKUP(M83,データ!$K$11:$O$16,1,TRUE),M83&lt;=VLOOKUP(M83,データ!$K$11:$O$16,2,TRUE)),VLOOKUP(M83,データ!$K$11:$O$16,3,TRUE),"")</f>
        <v/>
      </c>
      <c r="E83" s="74">
        <f t="shared" si="73"/>
        <v>0.41666666666666669</v>
      </c>
      <c r="F83" s="75">
        <f>VLOOKUP(E83,データ!$K$20:$O$24,5,FALSE)</f>
        <v>0</v>
      </c>
      <c r="G83" s="74">
        <f>IF(AND(M83&gt;=VLOOKUP(M83,データ!$K$3:$O$6,1,TRUE),M83&lt;=VLOOKUP(M83,データ!$K$3:$O$6,2,TRUE)),VLOOKUP(M83,データ!$K$3:$O$6,4,TRUE),"")</f>
        <v>0.70833333333333337</v>
      </c>
      <c r="H83" s="256">
        <f>INDEX(データ!L$21:N$24,MATCH(配置表!E83,データ!K$21:K$24,0),MATCH(配置表!G83,データ!L$20:N$20,0))</f>
        <v>1</v>
      </c>
      <c r="I83" s="52" t="str">
        <f>IF(ISERROR(VLOOKUP(M83,データ!$A$3:$C$20,3,FALSE)),"",VLOOKUP(M83,データ!$A$3:$C$20,3,FALSE))</f>
        <v/>
      </c>
      <c r="J83" s="52" t="str">
        <f t="shared" si="74"/>
        <v/>
      </c>
      <c r="K83" s="53">
        <f t="shared" si="85"/>
        <v>0</v>
      </c>
      <c r="L83" s="28" t="str">
        <f t="shared" si="75"/>
        <v/>
      </c>
      <c r="M83" s="9">
        <f t="shared" si="86"/>
        <v>45819</v>
      </c>
      <c r="N83" s="8" t="str">
        <f t="shared" si="76"/>
        <v>水</v>
      </c>
      <c r="O83" s="62" t="str">
        <f>IF(AND(M83&gt;=VLOOKUP(M83,データ!$E$3:$G$9,1,TRUE),M83&lt;=VLOOKUP(M83,データ!$E$3:$G$9,2,TRUE)),VLOOKUP(M83,データ!$E$3:$G$9,3,TRUE),"")</f>
        <v>夏　特別展</v>
      </c>
      <c r="P83" s="63" t="str">
        <f>IF(AND(M83&gt;=VLOOKUP(M83,データ!$E$14:$G$21,1,TRUE),M83&lt;=VLOOKUP(M83,データ!$E$14:$G$21,2,TRUE)),VLOOKUP(M83,データ!$E$14:$G$21,3,TRUE),"")</f>
        <v>テーマ展</v>
      </c>
      <c r="Q83" s="44" t="str">
        <f t="shared" si="77"/>
        <v>○</v>
      </c>
      <c r="R83" s="45"/>
      <c r="S83" s="33" t="str">
        <f t="shared" si="88"/>
        <v/>
      </c>
      <c r="T83" s="45"/>
      <c r="U83" s="33" t="str">
        <f t="shared" si="79"/>
        <v>●</v>
      </c>
      <c r="V83" s="32"/>
      <c r="W83" s="33" t="str">
        <f t="shared" si="89"/>
        <v>○</v>
      </c>
      <c r="X83" s="8"/>
      <c r="Y83" s="33" t="str">
        <f t="shared" si="81"/>
        <v>○</v>
      </c>
      <c r="Z83" s="8">
        <f>IF(L83="閉","",(IF(AND(M83&gt;=VLOOKUP(M83,データ!$E$3:$G$9,1,TRUE),M83&lt;=VLOOKUP(M83,データ!$E$3:$G$9,2,TRUE)),VLOOKUP(M83,データ!$E$3:$H$9,4,TRUE),0)+IF(AND(M83&gt;=VLOOKUP(M83,データ!$E$14:$G$21,1,TRUE),M83&lt;=VLOOKUP(M83,データ!$E$14:$G$21,2,TRUE)),VLOOKUP(M83,データ!$E$14:$H$21,4,TRUE),0)))</f>
        <v>5</v>
      </c>
      <c r="AA83" s="33" t="str">
        <f t="shared" si="82"/>
        <v>○</v>
      </c>
      <c r="AB83" s="227">
        <f t="shared" si="83"/>
        <v>0.41666666666666669</v>
      </c>
      <c r="AC83" s="227">
        <f t="shared" si="84"/>
        <v>0.70833333333333337</v>
      </c>
      <c r="AD83" s="228" t="str">
        <f>IF(K83=1,IF(ISERROR(VLOOKUP(M83,データ!$A$3:$C$23,2,FALSE)),"",VLOOKUP(M83,データ!$A$3:$C$23,2,FALSE)),(IF(ISERROR(VLOOKUP(M83,データ!$A$3:$C$23,2,FALSE)),"",VLOOKUP(M83,データ!$A$3:$C$23,2,FALSE))))</f>
        <v/>
      </c>
    </row>
    <row r="84" spans="1:30">
      <c r="A84" s="1">
        <f>IF(AND(M84&gt;=VLOOKUP(M84,データ!$K$3:$O$6,1,TRUE),M84&lt;=VLOOKUP(M84,データ!$K$3:$O$6,2,TRUE)),VLOOKUP(M84,データ!$K$3:$O$6,5,TRUE),"")</f>
        <v>1</v>
      </c>
      <c r="B84" s="74">
        <f>IF(AND(M84&gt;=VLOOKUP(M84,データ!$K$3:$O$6,1,TRUE),M84&lt;=VLOOKUP(M84,データ!$K$3:$O$6,2,TRUE)),VLOOKUP(M84,データ!$K$3:$O$6,3,TRUE),"")</f>
        <v>0.41666666666666669</v>
      </c>
      <c r="C84" s="1">
        <f>IF(AND(M84&gt;=VLOOKUP(M84,データ!$K$11:$O$16,1,TRUE),M84&lt;=VLOOKUP(M84,データ!$K$11:$O$16,2,TRUE)),VLOOKUP(M84,データ!$K$11:$O$16,5,TRUE),0)</f>
        <v>0</v>
      </c>
      <c r="D84" s="74" t="str">
        <f>IF(AND(M84&gt;=VLOOKUP(M84,データ!$K$11:$O$16,1,TRUE),M84&lt;=VLOOKUP(M84,データ!$K$11:$O$16,2,TRUE)),VLOOKUP(M84,データ!$K$11:$O$16,3,TRUE),"")</f>
        <v/>
      </c>
      <c r="E84" s="74">
        <f t="shared" si="73"/>
        <v>0.41666666666666669</v>
      </c>
      <c r="F84" s="75">
        <f>VLOOKUP(E84,データ!$K$20:$O$24,5,FALSE)</f>
        <v>0</v>
      </c>
      <c r="G84" s="74">
        <f>IF(AND(M84&gt;=VLOOKUP(M84,データ!$K$3:$O$6,1,TRUE),M84&lt;=VLOOKUP(M84,データ!$K$3:$O$6,2,TRUE)),VLOOKUP(M84,データ!$K$3:$O$6,4,TRUE),"")</f>
        <v>0.70833333333333337</v>
      </c>
      <c r="H84" s="256">
        <f>INDEX(データ!L$21:N$24,MATCH(配置表!E84,データ!K$21:K$24,0),MATCH(配置表!G84,データ!L$20:N$20,0))</f>
        <v>1</v>
      </c>
      <c r="I84" s="52" t="str">
        <f>IF(ISERROR(VLOOKUP(M84,データ!$A$3:$C$20,3,FALSE)),"",VLOOKUP(M84,データ!$A$3:$C$20,3,FALSE))</f>
        <v/>
      </c>
      <c r="J84" s="52" t="str">
        <f t="shared" si="74"/>
        <v/>
      </c>
      <c r="K84" s="53">
        <f t="shared" si="85"/>
        <v>0</v>
      </c>
      <c r="L84" s="28" t="str">
        <f t="shared" si="75"/>
        <v/>
      </c>
      <c r="M84" s="9">
        <f t="shared" si="86"/>
        <v>45820</v>
      </c>
      <c r="N84" s="8" t="str">
        <f t="shared" si="76"/>
        <v>木</v>
      </c>
      <c r="O84" s="62" t="str">
        <f>IF(AND(M84&gt;=VLOOKUP(M84,データ!$E$3:$G$9,1,TRUE),M84&lt;=VLOOKUP(M84,データ!$E$3:$G$9,2,TRUE)),VLOOKUP(M84,データ!$E$3:$G$9,3,TRUE),"")</f>
        <v>夏　特別展</v>
      </c>
      <c r="P84" s="63" t="str">
        <f>IF(AND(M84&gt;=VLOOKUP(M84,データ!$E$14:$G$21,1,TRUE),M84&lt;=VLOOKUP(M84,データ!$E$14:$G$21,2,TRUE)),VLOOKUP(M84,データ!$E$14:$G$21,3,TRUE),"")</f>
        <v>テーマ展</v>
      </c>
      <c r="Q84" s="44" t="str">
        <f t="shared" si="77"/>
        <v>○</v>
      </c>
      <c r="R84" s="45"/>
      <c r="S84" s="33" t="str">
        <f t="shared" si="88"/>
        <v/>
      </c>
      <c r="T84" s="45"/>
      <c r="U84" s="33" t="str">
        <f t="shared" si="79"/>
        <v>●</v>
      </c>
      <c r="V84" s="32"/>
      <c r="W84" s="33" t="str">
        <f t="shared" si="89"/>
        <v>○</v>
      </c>
      <c r="X84" s="8"/>
      <c r="Y84" s="33" t="str">
        <f t="shared" si="81"/>
        <v>○</v>
      </c>
      <c r="Z84" s="8">
        <f>IF(L84="閉","",(IF(AND(M84&gt;=VLOOKUP(M84,データ!$E$3:$G$9,1,TRUE),M84&lt;=VLOOKUP(M84,データ!$E$3:$G$9,2,TRUE)),VLOOKUP(M84,データ!$E$3:$H$9,4,TRUE),0)+IF(AND(M84&gt;=VLOOKUP(M84,データ!$E$14:$G$21,1,TRUE),M84&lt;=VLOOKUP(M84,データ!$E$14:$G$21,2,TRUE)),VLOOKUP(M84,データ!$E$14:$H$21,4,TRUE),0)))</f>
        <v>5</v>
      </c>
      <c r="AA84" s="33" t="str">
        <f t="shared" si="82"/>
        <v>○</v>
      </c>
      <c r="AB84" s="227">
        <f t="shared" si="83"/>
        <v>0.41666666666666669</v>
      </c>
      <c r="AC84" s="227">
        <f t="shared" si="84"/>
        <v>0.70833333333333337</v>
      </c>
      <c r="AD84" s="228" t="str">
        <f>IF(K84=1,IF(ISERROR(VLOOKUP(M84,データ!$A$3:$C$23,2,FALSE)),"",VLOOKUP(M84,データ!$A$3:$C$23,2,FALSE)),(IF(ISERROR(VLOOKUP(M84,データ!$A$3:$C$23,2,FALSE)),"",VLOOKUP(M84,データ!$A$3:$C$23,2,FALSE))))</f>
        <v/>
      </c>
    </row>
    <row r="85" spans="1:30">
      <c r="A85" s="1">
        <f>IF(AND(M85&gt;=VLOOKUP(M85,データ!$K$3:$O$6,1,TRUE),M85&lt;=VLOOKUP(M85,データ!$K$3:$O$6,2,TRUE)),VLOOKUP(M85,データ!$K$3:$O$6,5,TRUE),"")</f>
        <v>1</v>
      </c>
      <c r="B85" s="74">
        <f>IF(AND(M85&gt;=VLOOKUP(M85,データ!$K$3:$O$6,1,TRUE),M85&lt;=VLOOKUP(M85,データ!$K$3:$O$6,2,TRUE)),VLOOKUP(M85,データ!$K$3:$O$6,3,TRUE),"")</f>
        <v>0.41666666666666669</v>
      </c>
      <c r="C85" s="1">
        <f>IF(AND(M85&gt;=VLOOKUP(M85,データ!$K$11:$O$16,1,TRUE),M85&lt;=VLOOKUP(M85,データ!$K$11:$O$16,2,TRUE)),VLOOKUP(M85,データ!$K$11:$O$16,5,TRUE),0)</f>
        <v>0</v>
      </c>
      <c r="D85" s="74" t="str">
        <f>IF(AND(M85&gt;=VLOOKUP(M85,データ!$K$11:$O$16,1,TRUE),M85&lt;=VLOOKUP(M85,データ!$K$11:$O$16,2,TRUE)),VLOOKUP(M85,データ!$K$11:$O$16,3,TRUE),"")</f>
        <v/>
      </c>
      <c r="E85" s="74">
        <f t="shared" si="73"/>
        <v>0.41666666666666669</v>
      </c>
      <c r="F85" s="75">
        <f>VLOOKUP(E85,データ!$K$20:$O$24,5,FALSE)</f>
        <v>0</v>
      </c>
      <c r="G85" s="74">
        <f>IF(AND(M85&gt;=VLOOKUP(M85,データ!$K$3:$O$6,1,TRUE),M85&lt;=VLOOKUP(M85,データ!$K$3:$O$6,2,TRUE)),VLOOKUP(M85,データ!$K$3:$O$6,4,TRUE),"")</f>
        <v>0.70833333333333337</v>
      </c>
      <c r="H85" s="256">
        <f>INDEX(データ!L$21:N$24,MATCH(配置表!E85,データ!K$21:K$24,0),MATCH(配置表!G85,データ!L$20:N$20,0))</f>
        <v>1</v>
      </c>
      <c r="I85" s="52" t="str">
        <f>IF(ISERROR(VLOOKUP(M85,データ!$A$3:$C$20,3,FALSE)),"",VLOOKUP(M85,データ!$A$3:$C$20,3,FALSE))</f>
        <v/>
      </c>
      <c r="J85" s="52" t="str">
        <f t="shared" si="74"/>
        <v/>
      </c>
      <c r="K85" s="53">
        <f t="shared" si="85"/>
        <v>0</v>
      </c>
      <c r="L85" s="28" t="str">
        <f t="shared" si="75"/>
        <v/>
      </c>
      <c r="M85" s="9">
        <f t="shared" si="86"/>
        <v>45821</v>
      </c>
      <c r="N85" s="8" t="str">
        <f t="shared" si="76"/>
        <v>金</v>
      </c>
      <c r="O85" s="62" t="str">
        <f>IF(AND(M85&gt;=VLOOKUP(M85,データ!$E$3:$G$9,1,TRUE),M85&lt;=VLOOKUP(M85,データ!$E$3:$G$9,2,TRUE)),VLOOKUP(M85,データ!$E$3:$G$9,3,TRUE),"")</f>
        <v>夏　特別展</v>
      </c>
      <c r="P85" s="63" t="str">
        <f>IF(AND(M85&gt;=VLOOKUP(M85,データ!$E$14:$G$21,1,TRUE),M85&lt;=VLOOKUP(M85,データ!$E$14:$G$21,2,TRUE)),VLOOKUP(M85,データ!$E$14:$G$21,3,TRUE),"")</f>
        <v>テーマ展</v>
      </c>
      <c r="Q85" s="44" t="str">
        <f t="shared" si="77"/>
        <v>○</v>
      </c>
      <c r="R85" s="45"/>
      <c r="S85" s="33" t="str">
        <f t="shared" si="88"/>
        <v/>
      </c>
      <c r="T85" s="45"/>
      <c r="U85" s="33" t="str">
        <f t="shared" si="79"/>
        <v>●</v>
      </c>
      <c r="V85" s="32"/>
      <c r="W85" s="33" t="str">
        <f t="shared" si="89"/>
        <v>○</v>
      </c>
      <c r="X85" s="8"/>
      <c r="Y85" s="33" t="str">
        <f t="shared" si="81"/>
        <v>○</v>
      </c>
      <c r="Z85" s="8">
        <f>IF(L85="閉","",(IF(AND(M85&gt;=VLOOKUP(M85,データ!$E$3:$G$9,1,TRUE),M85&lt;=VLOOKUP(M85,データ!$E$3:$G$9,2,TRUE)),VLOOKUP(M85,データ!$E$3:$H$9,4,TRUE),0)+IF(AND(M85&gt;=VLOOKUP(M85,データ!$E$14:$G$21,1,TRUE),M85&lt;=VLOOKUP(M85,データ!$E$14:$G$21,2,TRUE)),VLOOKUP(M85,データ!$E$14:$H$21,4,TRUE),0)))</f>
        <v>5</v>
      </c>
      <c r="AA85" s="33" t="str">
        <f t="shared" si="82"/>
        <v>○</v>
      </c>
      <c r="AB85" s="227">
        <f t="shared" si="83"/>
        <v>0.41666666666666669</v>
      </c>
      <c r="AC85" s="227">
        <f t="shared" si="84"/>
        <v>0.70833333333333337</v>
      </c>
      <c r="AD85" s="228" t="str">
        <f>IF(K85=1,IF(ISERROR(VLOOKUP(M85,データ!$A$3:$C$23,2,FALSE)),"",VLOOKUP(M85,データ!$A$3:$C$23,2,FALSE)),(IF(ISERROR(VLOOKUP(M85,データ!$A$3:$C$23,2,FALSE)),"",VLOOKUP(M85,データ!$A$3:$C$23,2,FALSE))))</f>
        <v/>
      </c>
    </row>
    <row r="86" spans="1:30">
      <c r="A86" s="1">
        <f>IF(AND(M86&gt;=VLOOKUP(M86,データ!$K$3:$O$6,1,TRUE),M86&lt;=VLOOKUP(M86,データ!$K$3:$O$6,2,TRUE)),VLOOKUP(M86,データ!$K$3:$O$6,5,TRUE),"")</f>
        <v>1</v>
      </c>
      <c r="B86" s="74">
        <f>IF(AND(M86&gt;=VLOOKUP(M86,データ!$K$3:$O$6,1,TRUE),M86&lt;=VLOOKUP(M86,データ!$K$3:$O$6,2,TRUE)),VLOOKUP(M86,データ!$K$3:$O$6,3,TRUE),"")</f>
        <v>0.41666666666666669</v>
      </c>
      <c r="C86" s="1">
        <f>IF(AND(M86&gt;=VLOOKUP(M86,データ!$K$11:$O$16,1,TRUE),M86&lt;=VLOOKUP(M86,データ!$K$11:$O$16,2,TRUE)),VLOOKUP(M86,データ!$K$11:$O$16,5,TRUE),0)</f>
        <v>0</v>
      </c>
      <c r="D86" s="74" t="str">
        <f>IF(AND(M86&gt;=VLOOKUP(M86,データ!$K$11:$O$16,1,TRUE),M86&lt;=VLOOKUP(M86,データ!$K$11:$O$16,2,TRUE)),VLOOKUP(M86,データ!$K$11:$O$16,3,TRUE),"")</f>
        <v/>
      </c>
      <c r="E86" s="74">
        <f t="shared" si="73"/>
        <v>0.41666666666666669</v>
      </c>
      <c r="F86" s="75">
        <f>VLOOKUP(E86,データ!$K$20:$O$24,5,FALSE)</f>
        <v>0</v>
      </c>
      <c r="G86" s="74">
        <f>IF(AND(M86&gt;=VLOOKUP(M86,データ!$K$3:$O$6,1,TRUE),M86&lt;=VLOOKUP(M86,データ!$K$3:$O$6,2,TRUE)),VLOOKUP(M86,データ!$K$3:$O$6,4,TRUE),"")</f>
        <v>0.70833333333333337</v>
      </c>
      <c r="H86" s="256">
        <f>INDEX(データ!L$21:N$24,MATCH(配置表!E86,データ!K$21:K$24,0),MATCH(配置表!G86,データ!L$20:N$20,0))</f>
        <v>1</v>
      </c>
      <c r="I86" s="52" t="str">
        <f>IF(ISERROR(VLOOKUP(M86,データ!$A$3:$C$20,3,FALSE)),"",VLOOKUP(M86,データ!$A$3:$C$20,3,FALSE))</f>
        <v/>
      </c>
      <c r="J86" s="52" t="str">
        <f t="shared" si="74"/>
        <v/>
      </c>
      <c r="K86" s="53">
        <f t="shared" si="85"/>
        <v>0</v>
      </c>
      <c r="L86" s="28" t="str">
        <f t="shared" si="75"/>
        <v/>
      </c>
      <c r="M86" s="9">
        <f t="shared" si="86"/>
        <v>45822</v>
      </c>
      <c r="N86" s="8" t="str">
        <f t="shared" si="76"/>
        <v>土</v>
      </c>
      <c r="O86" s="62" t="str">
        <f>IF(AND(M86&gt;=VLOOKUP(M86,データ!$E$3:$G$9,1,TRUE),M86&lt;=VLOOKUP(M86,データ!$E$3:$G$9,2,TRUE)),VLOOKUP(M86,データ!$E$3:$G$9,3,TRUE),"")</f>
        <v>夏　特別展</v>
      </c>
      <c r="P86" s="63" t="str">
        <f>IF(AND(M86&gt;=VLOOKUP(M86,データ!$E$14:$G$21,1,TRUE),M86&lt;=VLOOKUP(M86,データ!$E$14:$G$21,2,TRUE)),VLOOKUP(M86,データ!$E$14:$G$21,3,TRUE),"")</f>
        <v>テーマ展</v>
      </c>
      <c r="Q86" s="44" t="str">
        <f t="shared" si="77"/>
        <v>○</v>
      </c>
      <c r="R86" s="45"/>
      <c r="S86" s="10" t="str">
        <f t="shared" ref="S86:S87" si="90">IF(L86="閉","休",IF(O86="","",IF(O86="冬　特別展",IF(OR(N86="土",N86="日",I86=1),"○",""),"○")))</f>
        <v>○</v>
      </c>
      <c r="T86" s="45"/>
      <c r="U86" s="33" t="str">
        <f t="shared" si="79"/>
        <v>●</v>
      </c>
      <c r="V86" s="32"/>
      <c r="W86" s="33" t="str">
        <f t="shared" ref="W86:W87" si="91">IF(L86="閉","休",IF(O86="","",IF(OR(N86="土",N86="日",I86=1),IF(OR(O86="ダミー　特別展",O86="ダミー　特別展"),"◎",IF(OR(O86="夏　特別展",O86="秋　特別展",O86="春　特別展"),"◎","")),"")))</f>
        <v>◎</v>
      </c>
      <c r="X86" s="8"/>
      <c r="Y86" s="33" t="str">
        <f t="shared" si="81"/>
        <v>○</v>
      </c>
      <c r="Z86" s="8">
        <f>IF(L86="閉","",(IF(AND(M86&gt;=VLOOKUP(M86,データ!$E$3:$G$9,1,TRUE),M86&lt;=VLOOKUP(M86,データ!$E$3:$G$9,2,TRUE)),VLOOKUP(M86,データ!$E$3:$H$9,4,TRUE),0)+IF(AND(M86&gt;=VLOOKUP(M86,データ!$E$14:$G$21,1,TRUE),M86&lt;=VLOOKUP(M86,データ!$E$14:$G$21,2,TRUE)),VLOOKUP(M86,データ!$E$14:$H$21,4,TRUE),0)))</f>
        <v>5</v>
      </c>
      <c r="AA86" s="33" t="str">
        <f t="shared" si="82"/>
        <v>○</v>
      </c>
      <c r="AB86" s="227">
        <f t="shared" si="83"/>
        <v>0.41666666666666669</v>
      </c>
      <c r="AC86" s="227">
        <f t="shared" si="84"/>
        <v>0.70833333333333337</v>
      </c>
      <c r="AD86" s="228" t="str">
        <f>IF(K86=1,IF(ISERROR(VLOOKUP(M86,データ!$A$3:$C$23,2,FALSE)),"",VLOOKUP(M86,データ!$A$3:$C$23,2,FALSE)),(IF(ISERROR(VLOOKUP(M86,データ!$A$3:$C$23,2,FALSE)),"",VLOOKUP(M86,データ!$A$3:$C$23,2,FALSE))))</f>
        <v/>
      </c>
    </row>
    <row r="87" spans="1:30">
      <c r="A87" s="1">
        <f>IF(AND(M87&gt;=VLOOKUP(M87,データ!$K$3:$O$6,1,TRUE),M87&lt;=VLOOKUP(M87,データ!$K$3:$O$6,2,TRUE)),VLOOKUP(M87,データ!$K$3:$O$6,5,TRUE),"")</f>
        <v>1</v>
      </c>
      <c r="B87" s="74">
        <f>IF(AND(M87&gt;=VLOOKUP(M87,データ!$K$3:$O$6,1,TRUE),M87&lt;=VLOOKUP(M87,データ!$K$3:$O$6,2,TRUE)),VLOOKUP(M87,データ!$K$3:$O$6,3,TRUE),"")</f>
        <v>0.41666666666666669</v>
      </c>
      <c r="C87" s="1">
        <f>IF(AND(M87&gt;=VLOOKUP(M87,データ!$K$11:$O$16,1,TRUE),M87&lt;=VLOOKUP(M87,データ!$K$11:$O$16,2,TRUE)),VLOOKUP(M87,データ!$K$11:$O$16,5,TRUE),0)</f>
        <v>0</v>
      </c>
      <c r="D87" s="74" t="str">
        <f>IF(AND(M87&gt;=VLOOKUP(M87,データ!$K$11:$O$16,1,TRUE),M87&lt;=VLOOKUP(M87,データ!$K$11:$O$16,2,TRUE)),VLOOKUP(M87,データ!$K$11:$O$16,3,TRUE),"")</f>
        <v/>
      </c>
      <c r="E87" s="74">
        <f t="shared" si="73"/>
        <v>0.41666666666666669</v>
      </c>
      <c r="F87" s="75">
        <f>VLOOKUP(E87,データ!$K$20:$O$24,5,FALSE)</f>
        <v>0</v>
      </c>
      <c r="G87" s="74">
        <f>IF(AND(M87&gt;=VLOOKUP(M87,データ!$K$3:$O$6,1,TRUE),M87&lt;=VLOOKUP(M87,データ!$K$3:$O$6,2,TRUE)),VLOOKUP(M87,データ!$K$3:$O$6,4,TRUE),"")</f>
        <v>0.70833333333333337</v>
      </c>
      <c r="H87" s="256">
        <f>INDEX(データ!L$21:N$24,MATCH(配置表!E87,データ!K$21:K$24,0),MATCH(配置表!G87,データ!L$20:N$20,0))</f>
        <v>1</v>
      </c>
      <c r="I87" s="52" t="str">
        <f>IF(ISERROR(VLOOKUP(M87,データ!$A$3:$C$20,3,FALSE)),"",VLOOKUP(M87,データ!$A$3:$C$20,3,FALSE))</f>
        <v/>
      </c>
      <c r="J87" s="52" t="str">
        <f t="shared" si="74"/>
        <v/>
      </c>
      <c r="K87" s="53">
        <f t="shared" si="85"/>
        <v>0</v>
      </c>
      <c r="L87" s="28" t="str">
        <f t="shared" si="75"/>
        <v/>
      </c>
      <c r="M87" s="9">
        <f t="shared" si="86"/>
        <v>45823</v>
      </c>
      <c r="N87" s="8" t="str">
        <f t="shared" si="76"/>
        <v>日</v>
      </c>
      <c r="O87" s="62" t="str">
        <f>IF(AND(M87&gt;=VLOOKUP(M87,データ!$E$3:$G$9,1,TRUE),M87&lt;=VLOOKUP(M87,データ!$E$3:$G$9,2,TRUE)),VLOOKUP(M87,データ!$E$3:$G$9,3,TRUE),"")</f>
        <v>夏　特別展</v>
      </c>
      <c r="P87" s="63" t="str">
        <f>IF(AND(M87&gt;=VLOOKUP(M87,データ!$E$14:$G$21,1,TRUE),M87&lt;=VLOOKUP(M87,データ!$E$14:$G$21,2,TRUE)),VLOOKUP(M87,データ!$E$14:$G$21,3,TRUE),"")</f>
        <v>テーマ展</v>
      </c>
      <c r="Q87" s="44" t="str">
        <f t="shared" si="77"/>
        <v>○</v>
      </c>
      <c r="R87" s="45"/>
      <c r="S87" s="10" t="str">
        <f t="shared" si="90"/>
        <v>○</v>
      </c>
      <c r="T87" s="45"/>
      <c r="U87" s="33" t="str">
        <f t="shared" si="79"/>
        <v>●</v>
      </c>
      <c r="V87" s="32"/>
      <c r="W87" s="33" t="str">
        <f t="shared" si="91"/>
        <v>◎</v>
      </c>
      <c r="X87" s="8"/>
      <c r="Y87" s="33" t="str">
        <f t="shared" si="81"/>
        <v>○</v>
      </c>
      <c r="Z87" s="8">
        <f>IF(L87="閉","",(IF(AND(M87&gt;=VLOOKUP(M87,データ!$E$3:$G$9,1,TRUE),M87&lt;=VLOOKUP(M87,データ!$E$3:$G$9,2,TRUE)),VLOOKUP(M87,データ!$E$3:$H$9,4,TRUE),0)+IF(AND(M87&gt;=VLOOKUP(M87,データ!$E$14:$G$21,1,TRUE),M87&lt;=VLOOKUP(M87,データ!$E$14:$G$21,2,TRUE)),VLOOKUP(M87,データ!$E$14:$H$21,4,TRUE),0)))</f>
        <v>5</v>
      </c>
      <c r="AA87" s="33" t="str">
        <f t="shared" si="82"/>
        <v>○</v>
      </c>
      <c r="AB87" s="227">
        <f t="shared" si="83"/>
        <v>0.41666666666666669</v>
      </c>
      <c r="AC87" s="227">
        <f t="shared" si="84"/>
        <v>0.70833333333333337</v>
      </c>
      <c r="AD87" s="228" t="str">
        <f>IF(K87=1,IF(ISERROR(VLOOKUP(M87,データ!$A$3:$C$23,2,FALSE)),"",VLOOKUP(M87,データ!$A$3:$C$23,2,FALSE)),(IF(ISERROR(VLOOKUP(M87,データ!$A$3:$C$23,2,FALSE)),"",VLOOKUP(M87,データ!$A$3:$C$23,2,FALSE))))</f>
        <v/>
      </c>
    </row>
    <row r="88" spans="1:30">
      <c r="A88" s="1">
        <f>IF(AND(M88&gt;=VLOOKUP(M88,データ!$K$3:$O$6,1,TRUE),M88&lt;=VLOOKUP(M88,データ!$K$3:$O$6,2,TRUE)),VLOOKUP(M88,データ!$K$3:$O$6,5,TRUE),"")</f>
        <v>1</v>
      </c>
      <c r="B88" s="74">
        <f>IF(AND(M88&gt;=VLOOKUP(M88,データ!$K$3:$O$6,1,TRUE),M88&lt;=VLOOKUP(M88,データ!$K$3:$O$6,2,TRUE)),VLOOKUP(M88,データ!$K$3:$O$6,3,TRUE),"")</f>
        <v>0.41666666666666669</v>
      </c>
      <c r="C88" s="1">
        <f>IF(AND(M88&gt;=VLOOKUP(M88,データ!$K$11:$O$16,1,TRUE),M88&lt;=VLOOKUP(M88,データ!$K$11:$O$16,2,TRUE)),VLOOKUP(M88,データ!$K$11:$O$16,5,TRUE),0)</f>
        <v>0</v>
      </c>
      <c r="D88" s="74" t="str">
        <f>IF(AND(M88&gt;=VLOOKUP(M88,データ!$K$11:$O$16,1,TRUE),M88&lt;=VLOOKUP(M88,データ!$K$11:$O$16,2,TRUE)),VLOOKUP(M88,データ!$K$11:$O$16,3,TRUE),"")</f>
        <v/>
      </c>
      <c r="E88" s="74">
        <f t="shared" si="73"/>
        <v>0.41666666666666669</v>
      </c>
      <c r="F88" s="75">
        <f>VLOOKUP(E88,データ!$K$20:$O$24,5,FALSE)</f>
        <v>0</v>
      </c>
      <c r="G88" s="74">
        <f>IF(AND(M88&gt;=VLOOKUP(M88,データ!$K$3:$O$6,1,TRUE),M88&lt;=VLOOKUP(M88,データ!$K$3:$O$6,2,TRUE)),VLOOKUP(M88,データ!$K$3:$O$6,4,TRUE),"")</f>
        <v>0.70833333333333337</v>
      </c>
      <c r="H88" s="256">
        <f>INDEX(データ!L$21:N$24,MATCH(配置表!E88,データ!K$21:K$24,0),MATCH(配置表!G88,データ!L$20:N$20,0))</f>
        <v>1</v>
      </c>
      <c r="I88" s="52" t="str">
        <f>IF(ISERROR(VLOOKUP(M88,データ!$A$3:$C$20,3,FALSE)),"",VLOOKUP(M88,データ!$A$3:$C$20,3,FALSE))</f>
        <v/>
      </c>
      <c r="J88" s="52">
        <f t="shared" si="74"/>
        <v>1</v>
      </c>
      <c r="K88" s="53">
        <f t="shared" si="85"/>
        <v>1</v>
      </c>
      <c r="L88" s="28" t="str">
        <f t="shared" si="75"/>
        <v>閉</v>
      </c>
      <c r="M88" s="9">
        <f t="shared" si="86"/>
        <v>45824</v>
      </c>
      <c r="N88" s="8" t="str">
        <f t="shared" si="76"/>
        <v>月</v>
      </c>
      <c r="O88" s="62" t="str">
        <f>IF(AND(M88&gt;=VLOOKUP(M88,データ!$E$3:$G$9,1,TRUE),M88&lt;=VLOOKUP(M88,データ!$E$3:$G$9,2,TRUE)),VLOOKUP(M88,データ!$E$3:$G$9,3,TRUE),"")</f>
        <v>夏　特別展</v>
      </c>
      <c r="P88" s="63" t="str">
        <f>IF(AND(M88&gt;=VLOOKUP(M88,データ!$E$14:$G$21,1,TRUE),M88&lt;=VLOOKUP(M88,データ!$E$14:$G$21,2,TRUE)),VLOOKUP(M88,データ!$E$14:$G$21,3,TRUE),"")</f>
        <v>テーマ展</v>
      </c>
      <c r="Q88" s="44" t="str">
        <f t="shared" si="77"/>
        <v>休</v>
      </c>
      <c r="R88" s="8"/>
      <c r="S88" s="33" t="str">
        <f t="shared" si="78"/>
        <v>休</v>
      </c>
      <c r="T88" s="8"/>
      <c r="U88" s="33" t="str">
        <f t="shared" si="79"/>
        <v>休</v>
      </c>
      <c r="V88" s="8"/>
      <c r="W88" s="33" t="str">
        <f t="shared" si="80"/>
        <v>休</v>
      </c>
      <c r="X88" s="8"/>
      <c r="Y88" s="33" t="str">
        <f t="shared" si="81"/>
        <v>休</v>
      </c>
      <c r="Z88" s="8" t="str">
        <f>IF(L88="閉","",(IF(AND(M88&gt;=VLOOKUP(M88,データ!$E$3:$G$9,1,TRUE),M88&lt;=VLOOKUP(M88,データ!$E$3:$G$9,2,TRUE)),VLOOKUP(M88,データ!$E$3:$H$9,4,TRUE),0)+IF(AND(M88&gt;=VLOOKUP(M88,データ!$E$14:$G$21,1,TRUE),M88&lt;=VLOOKUP(M88,データ!$E$14:$G$21,2,TRUE)),VLOOKUP(M88,データ!$E$14:$H$21,4,TRUE),0)))</f>
        <v/>
      </c>
      <c r="AA88" s="33" t="str">
        <f t="shared" si="82"/>
        <v>休</v>
      </c>
      <c r="AB88" s="227" t="str">
        <f t="shared" si="83"/>
        <v/>
      </c>
      <c r="AC88" s="227" t="str">
        <f t="shared" si="84"/>
        <v/>
      </c>
      <c r="AD88" s="228" t="str">
        <f>IF(K88=1,IF(ISERROR(VLOOKUP(M88,データ!$A$3:$C$23,2,FALSE)),"",VLOOKUP(M88,データ!$A$3:$C$23,2,FALSE)),(IF(ISERROR(VLOOKUP(M88,データ!$A$3:$C$23,2,FALSE)),"",VLOOKUP(M88,データ!$A$3:$C$23,2,FALSE))))</f>
        <v/>
      </c>
    </row>
    <row r="89" spans="1:30">
      <c r="A89" s="1">
        <f>IF(AND(M89&gt;=VLOOKUP(M89,データ!$K$3:$O$6,1,TRUE),M89&lt;=VLOOKUP(M89,データ!$K$3:$O$6,2,TRUE)),VLOOKUP(M89,データ!$K$3:$O$6,5,TRUE),"")</f>
        <v>1</v>
      </c>
      <c r="B89" s="74">
        <f>IF(AND(M89&gt;=VLOOKUP(M89,データ!$K$3:$O$6,1,TRUE),M89&lt;=VLOOKUP(M89,データ!$K$3:$O$6,2,TRUE)),VLOOKUP(M89,データ!$K$3:$O$6,3,TRUE),"")</f>
        <v>0.41666666666666669</v>
      </c>
      <c r="C89" s="1">
        <f>IF(AND(M89&gt;=VLOOKUP(M89,データ!$K$11:$O$16,1,TRUE),M89&lt;=VLOOKUP(M89,データ!$K$11:$O$16,2,TRUE)),VLOOKUP(M89,データ!$K$11:$O$16,5,TRUE),0)</f>
        <v>0</v>
      </c>
      <c r="D89" s="74" t="str">
        <f>IF(AND(M89&gt;=VLOOKUP(M89,データ!$K$11:$O$16,1,TRUE),M89&lt;=VLOOKUP(M89,データ!$K$11:$O$16,2,TRUE)),VLOOKUP(M89,データ!$K$11:$O$16,3,TRUE),"")</f>
        <v/>
      </c>
      <c r="E89" s="74">
        <f t="shared" si="73"/>
        <v>0.41666666666666669</v>
      </c>
      <c r="F89" s="75">
        <f>VLOOKUP(E89,データ!$K$20:$O$24,5,FALSE)</f>
        <v>0</v>
      </c>
      <c r="G89" s="74">
        <f>IF(AND(M89&gt;=VLOOKUP(M89,データ!$K$3:$O$6,1,TRUE),M89&lt;=VLOOKUP(M89,データ!$K$3:$O$6,2,TRUE)),VLOOKUP(M89,データ!$K$3:$O$6,4,TRUE),"")</f>
        <v>0.70833333333333337</v>
      </c>
      <c r="H89" s="256">
        <f>INDEX(データ!L$21:N$24,MATCH(配置表!E89,データ!K$21:K$24,0),MATCH(配置表!G89,データ!L$20:N$20,0))</f>
        <v>1</v>
      </c>
      <c r="I89" s="52" t="str">
        <f>IF(ISERROR(VLOOKUP(M89,データ!$A$3:$C$20,3,FALSE)),"",VLOOKUP(M89,データ!$A$3:$C$20,3,FALSE))</f>
        <v/>
      </c>
      <c r="J89" s="52" t="str">
        <f t="shared" si="74"/>
        <v/>
      </c>
      <c r="K89" s="53">
        <f t="shared" si="85"/>
        <v>0</v>
      </c>
      <c r="L89" s="28" t="str">
        <f t="shared" si="75"/>
        <v/>
      </c>
      <c r="M89" s="9">
        <f t="shared" si="86"/>
        <v>45825</v>
      </c>
      <c r="N89" s="8" t="str">
        <f t="shared" si="76"/>
        <v>火</v>
      </c>
      <c r="O89" s="62" t="str">
        <f>IF(AND(M89&gt;=VLOOKUP(M89,データ!$E$3:$G$9,1,TRUE),M89&lt;=VLOOKUP(M89,データ!$E$3:$G$9,2,TRUE)),VLOOKUP(M89,データ!$E$3:$G$9,3,TRUE),"")</f>
        <v>夏　特別展</v>
      </c>
      <c r="P89" s="63" t="str">
        <f>IF(AND(M89&gt;=VLOOKUP(M89,データ!$E$14:$G$21,1,TRUE),M89&lt;=VLOOKUP(M89,データ!$E$14:$G$21,2,TRUE)),VLOOKUP(M89,データ!$E$14:$G$21,3,TRUE),"")</f>
        <v>テーマ展</v>
      </c>
      <c r="Q89" s="44" t="str">
        <f t="shared" si="77"/>
        <v>○</v>
      </c>
      <c r="R89" s="45"/>
      <c r="S89" s="33" t="str">
        <f t="shared" ref="S89:S92" si="92">IF(H89="閉","休",IF(K89="","",IF(OR(J89="土",J89="日",E89=1),IF(OR(K89="ダミー　特別展",K89="ダミー　特別展"),"◎",IF(OR(K89="夏　特別展",K89="秋　特別展",K89="春　特別展"),"○","")),"")))</f>
        <v/>
      </c>
      <c r="T89" s="45"/>
      <c r="U89" s="33" t="str">
        <f t="shared" ref="U89:U94" si="93">IF(L89="閉","休",IF(S89="","●","●"))</f>
        <v>●</v>
      </c>
      <c r="V89" s="32"/>
      <c r="W89" s="33" t="str">
        <f t="shared" ref="W89:W92" si="94">IF(P89="閉","休",IF(O89="","",IF(O89="冬　特別展",IF(OR(N89="土",N89="日",M89=1),"○",""),"○")))</f>
        <v>○</v>
      </c>
      <c r="X89" s="8"/>
      <c r="Y89" s="33" t="str">
        <f t="shared" si="81"/>
        <v>○</v>
      </c>
      <c r="Z89" s="8">
        <f>IF(L89="閉","",(IF(AND(M89&gt;=VLOOKUP(M89,データ!$E$3:$G$9,1,TRUE),M89&lt;=VLOOKUP(M89,データ!$E$3:$G$9,2,TRUE)),VLOOKUP(M89,データ!$E$3:$H$9,4,TRUE),0)+IF(AND(M89&gt;=VLOOKUP(M89,データ!$E$14:$G$21,1,TRUE),M89&lt;=VLOOKUP(M89,データ!$E$14:$G$21,2,TRUE)),VLOOKUP(M89,データ!$E$14:$H$21,4,TRUE),0)))</f>
        <v>5</v>
      </c>
      <c r="AA89" s="33" t="str">
        <f t="shared" si="82"/>
        <v>○</v>
      </c>
      <c r="AB89" s="227">
        <f t="shared" si="83"/>
        <v>0.41666666666666669</v>
      </c>
      <c r="AC89" s="227">
        <f t="shared" si="84"/>
        <v>0.70833333333333337</v>
      </c>
      <c r="AD89" s="228" t="str">
        <f>IF(K89=1,IF(ISERROR(VLOOKUP(M89,データ!$A$3:$C$23,2,FALSE)),"",VLOOKUP(M89,データ!$A$3:$C$23,2,FALSE)),(IF(ISERROR(VLOOKUP(M89,データ!$A$3:$C$23,2,FALSE)),"",VLOOKUP(M89,データ!$A$3:$C$23,2,FALSE))))</f>
        <v/>
      </c>
    </row>
    <row r="90" spans="1:30">
      <c r="A90" s="1">
        <f>IF(AND(M90&gt;=VLOOKUP(M90,データ!$K$3:$O$6,1,TRUE),M90&lt;=VLOOKUP(M90,データ!$K$3:$O$6,2,TRUE)),VLOOKUP(M90,データ!$K$3:$O$6,5,TRUE),"")</f>
        <v>1</v>
      </c>
      <c r="B90" s="74">
        <f>IF(AND(M90&gt;=VLOOKUP(M90,データ!$K$3:$O$6,1,TRUE),M90&lt;=VLOOKUP(M90,データ!$K$3:$O$6,2,TRUE)),VLOOKUP(M90,データ!$K$3:$O$6,3,TRUE),"")</f>
        <v>0.41666666666666669</v>
      </c>
      <c r="C90" s="1">
        <f>IF(AND(M90&gt;=VLOOKUP(M90,データ!$K$11:$O$16,1,TRUE),M90&lt;=VLOOKUP(M90,データ!$K$11:$O$16,2,TRUE)),VLOOKUP(M90,データ!$K$11:$O$16,5,TRUE),0)</f>
        <v>0</v>
      </c>
      <c r="D90" s="74" t="str">
        <f>IF(AND(M90&gt;=VLOOKUP(M90,データ!$K$11:$O$16,1,TRUE),M90&lt;=VLOOKUP(M90,データ!$K$11:$O$16,2,TRUE)),VLOOKUP(M90,データ!$K$11:$O$16,3,TRUE),"")</f>
        <v/>
      </c>
      <c r="E90" s="74">
        <f t="shared" si="73"/>
        <v>0.41666666666666669</v>
      </c>
      <c r="F90" s="75">
        <f>VLOOKUP(E90,データ!$K$20:$O$24,5,FALSE)</f>
        <v>0</v>
      </c>
      <c r="G90" s="74">
        <f>IF(AND(M90&gt;=VLOOKUP(M90,データ!$K$3:$O$6,1,TRUE),M90&lt;=VLOOKUP(M90,データ!$K$3:$O$6,2,TRUE)),VLOOKUP(M90,データ!$K$3:$O$6,4,TRUE),"")</f>
        <v>0.70833333333333337</v>
      </c>
      <c r="H90" s="256">
        <f>INDEX(データ!L$21:N$24,MATCH(配置表!E90,データ!K$21:K$24,0),MATCH(配置表!G90,データ!L$20:N$20,0))</f>
        <v>1</v>
      </c>
      <c r="I90" s="52" t="str">
        <f>IF(ISERROR(VLOOKUP(M90,データ!$A$3:$C$20,3,FALSE)),"",VLOOKUP(M90,データ!$A$3:$C$20,3,FALSE))</f>
        <v/>
      </c>
      <c r="J90" s="52" t="str">
        <f t="shared" si="74"/>
        <v/>
      </c>
      <c r="K90" s="53">
        <f t="shared" si="85"/>
        <v>0</v>
      </c>
      <c r="L90" s="28" t="str">
        <f t="shared" si="75"/>
        <v/>
      </c>
      <c r="M90" s="9">
        <f t="shared" si="86"/>
        <v>45826</v>
      </c>
      <c r="N90" s="8" t="str">
        <f t="shared" si="76"/>
        <v>水</v>
      </c>
      <c r="O90" s="62" t="str">
        <f>IF(AND(M90&gt;=VLOOKUP(M90,データ!$E$3:$G$9,1,TRUE),M90&lt;=VLOOKUP(M90,データ!$E$3:$G$9,2,TRUE)),VLOOKUP(M90,データ!$E$3:$G$9,3,TRUE),"")</f>
        <v>夏　特別展</v>
      </c>
      <c r="P90" s="63" t="str">
        <f>IF(AND(M90&gt;=VLOOKUP(M90,データ!$E$14:$G$21,1,TRUE),M90&lt;=VLOOKUP(M90,データ!$E$14:$G$21,2,TRUE)),VLOOKUP(M90,データ!$E$14:$G$21,3,TRUE),"")</f>
        <v>テーマ展</v>
      </c>
      <c r="Q90" s="44" t="str">
        <f t="shared" si="77"/>
        <v>○</v>
      </c>
      <c r="R90" s="45"/>
      <c r="S90" s="33" t="str">
        <f t="shared" si="92"/>
        <v/>
      </c>
      <c r="T90" s="45"/>
      <c r="U90" s="33" t="str">
        <f t="shared" si="93"/>
        <v>●</v>
      </c>
      <c r="V90" s="32"/>
      <c r="W90" s="33" t="str">
        <f t="shared" si="94"/>
        <v>○</v>
      </c>
      <c r="X90" s="8"/>
      <c r="Y90" s="33" t="str">
        <f t="shared" si="81"/>
        <v>○</v>
      </c>
      <c r="Z90" s="8">
        <f>IF(L90="閉","",(IF(AND(M90&gt;=VLOOKUP(M90,データ!$E$3:$G$9,1,TRUE),M90&lt;=VLOOKUP(M90,データ!$E$3:$G$9,2,TRUE)),VLOOKUP(M90,データ!$E$3:$H$9,4,TRUE),0)+IF(AND(M90&gt;=VLOOKUP(M90,データ!$E$14:$G$21,1,TRUE),M90&lt;=VLOOKUP(M90,データ!$E$14:$G$21,2,TRUE)),VLOOKUP(M90,データ!$E$14:$H$21,4,TRUE),0)))</f>
        <v>5</v>
      </c>
      <c r="AA90" s="33" t="str">
        <f t="shared" si="82"/>
        <v>○</v>
      </c>
      <c r="AB90" s="227">
        <f t="shared" si="83"/>
        <v>0.41666666666666669</v>
      </c>
      <c r="AC90" s="227">
        <f t="shared" si="84"/>
        <v>0.70833333333333337</v>
      </c>
      <c r="AD90" s="228" t="str">
        <f>IF(K90=1,IF(ISERROR(VLOOKUP(M90,データ!$A$3:$C$23,2,FALSE)),"",VLOOKUP(M90,データ!$A$3:$C$23,2,FALSE)),(IF(ISERROR(VLOOKUP(M90,データ!$A$3:$C$23,2,FALSE)),"",VLOOKUP(M90,データ!$A$3:$C$23,2,FALSE))))</f>
        <v/>
      </c>
    </row>
    <row r="91" spans="1:30">
      <c r="A91" s="1">
        <f>IF(AND(M91&gt;=VLOOKUP(M91,データ!$K$3:$O$6,1,TRUE),M91&lt;=VLOOKUP(M91,データ!$K$3:$O$6,2,TRUE)),VLOOKUP(M91,データ!$K$3:$O$6,5,TRUE),"")</f>
        <v>1</v>
      </c>
      <c r="B91" s="74">
        <f>IF(AND(M91&gt;=VLOOKUP(M91,データ!$K$3:$O$6,1,TRUE),M91&lt;=VLOOKUP(M91,データ!$K$3:$O$6,2,TRUE)),VLOOKUP(M91,データ!$K$3:$O$6,3,TRUE),"")</f>
        <v>0.41666666666666669</v>
      </c>
      <c r="C91" s="1">
        <f>IF(AND(M91&gt;=VLOOKUP(M91,データ!$K$11:$O$16,1,TRUE),M91&lt;=VLOOKUP(M91,データ!$K$11:$O$16,2,TRUE)),VLOOKUP(M91,データ!$K$11:$O$16,5,TRUE),0)</f>
        <v>0</v>
      </c>
      <c r="D91" s="74" t="str">
        <f>IF(AND(M91&gt;=VLOOKUP(M91,データ!$K$11:$O$16,1,TRUE),M91&lt;=VLOOKUP(M91,データ!$K$11:$O$16,2,TRUE)),VLOOKUP(M91,データ!$K$11:$O$16,3,TRUE),"")</f>
        <v/>
      </c>
      <c r="E91" s="74">
        <f t="shared" si="73"/>
        <v>0.41666666666666669</v>
      </c>
      <c r="F91" s="75">
        <f>VLOOKUP(E91,データ!$K$20:$O$24,5,FALSE)</f>
        <v>0</v>
      </c>
      <c r="G91" s="74">
        <f>IF(AND(M91&gt;=VLOOKUP(M91,データ!$K$3:$O$6,1,TRUE),M91&lt;=VLOOKUP(M91,データ!$K$3:$O$6,2,TRUE)),VLOOKUP(M91,データ!$K$3:$O$6,4,TRUE),"")</f>
        <v>0.70833333333333337</v>
      </c>
      <c r="H91" s="256">
        <f>INDEX(データ!L$21:N$24,MATCH(配置表!E91,データ!K$21:K$24,0),MATCH(配置表!G91,データ!L$20:N$20,0))</f>
        <v>1</v>
      </c>
      <c r="I91" s="52" t="str">
        <f>IF(ISERROR(VLOOKUP(M91,データ!$A$3:$C$20,3,FALSE)),"",VLOOKUP(M91,データ!$A$3:$C$20,3,FALSE))</f>
        <v/>
      </c>
      <c r="J91" s="52" t="str">
        <f t="shared" si="74"/>
        <v/>
      </c>
      <c r="K91" s="53">
        <f t="shared" si="85"/>
        <v>0</v>
      </c>
      <c r="L91" s="28" t="str">
        <f t="shared" si="75"/>
        <v/>
      </c>
      <c r="M91" s="9">
        <f t="shared" si="86"/>
        <v>45827</v>
      </c>
      <c r="N91" s="8" t="str">
        <f t="shared" si="76"/>
        <v>木</v>
      </c>
      <c r="O91" s="62" t="str">
        <f>IF(AND(M91&gt;=VLOOKUP(M91,データ!$E$3:$G$9,1,TRUE),M91&lt;=VLOOKUP(M91,データ!$E$3:$G$9,2,TRUE)),VLOOKUP(M91,データ!$E$3:$G$9,3,TRUE),"")</f>
        <v>夏　特別展</v>
      </c>
      <c r="P91" s="63" t="str">
        <f>IF(AND(M91&gt;=VLOOKUP(M91,データ!$E$14:$G$21,1,TRUE),M91&lt;=VLOOKUP(M91,データ!$E$14:$G$21,2,TRUE)),VLOOKUP(M91,データ!$E$14:$G$21,3,TRUE),"")</f>
        <v>テーマ展</v>
      </c>
      <c r="Q91" s="44" t="str">
        <f t="shared" si="77"/>
        <v>○</v>
      </c>
      <c r="R91" s="45"/>
      <c r="S91" s="33" t="str">
        <f t="shared" si="92"/>
        <v/>
      </c>
      <c r="T91" s="45"/>
      <c r="U91" s="33" t="str">
        <f t="shared" si="93"/>
        <v>●</v>
      </c>
      <c r="V91" s="32"/>
      <c r="W91" s="33" t="str">
        <f t="shared" si="94"/>
        <v>○</v>
      </c>
      <c r="X91" s="8"/>
      <c r="Y91" s="33" t="str">
        <f t="shared" si="81"/>
        <v>○</v>
      </c>
      <c r="Z91" s="8">
        <f>IF(L91="閉","",(IF(AND(M91&gt;=VLOOKUP(M91,データ!$E$3:$G$9,1,TRUE),M91&lt;=VLOOKUP(M91,データ!$E$3:$G$9,2,TRUE)),VLOOKUP(M91,データ!$E$3:$H$9,4,TRUE),0)+IF(AND(M91&gt;=VLOOKUP(M91,データ!$E$14:$G$21,1,TRUE),M91&lt;=VLOOKUP(M91,データ!$E$14:$G$21,2,TRUE)),VLOOKUP(M91,データ!$E$14:$H$21,4,TRUE),0)))</f>
        <v>5</v>
      </c>
      <c r="AA91" s="33" t="str">
        <f t="shared" si="82"/>
        <v>○</v>
      </c>
      <c r="AB91" s="227">
        <f t="shared" si="83"/>
        <v>0.41666666666666669</v>
      </c>
      <c r="AC91" s="227">
        <f t="shared" si="84"/>
        <v>0.70833333333333337</v>
      </c>
      <c r="AD91" s="228" t="str">
        <f>IF(K91=1,IF(ISERROR(VLOOKUP(M91,データ!$A$3:$C$23,2,FALSE)),"",VLOOKUP(M91,データ!$A$3:$C$23,2,FALSE)),(IF(ISERROR(VLOOKUP(M91,データ!$A$3:$C$23,2,FALSE)),"",VLOOKUP(M91,データ!$A$3:$C$23,2,FALSE))))</f>
        <v/>
      </c>
    </row>
    <row r="92" spans="1:30">
      <c r="A92" s="1">
        <f>IF(AND(M92&gt;=VLOOKUP(M92,データ!$K$3:$O$6,1,TRUE),M92&lt;=VLOOKUP(M92,データ!$K$3:$O$6,2,TRUE)),VLOOKUP(M92,データ!$K$3:$O$6,5,TRUE),"")</f>
        <v>1</v>
      </c>
      <c r="B92" s="74">
        <f>IF(AND(M92&gt;=VLOOKUP(M92,データ!$K$3:$O$6,1,TRUE),M92&lt;=VLOOKUP(M92,データ!$K$3:$O$6,2,TRUE)),VLOOKUP(M92,データ!$K$3:$O$6,3,TRUE),"")</f>
        <v>0.41666666666666669</v>
      </c>
      <c r="C92" s="1">
        <f>IF(AND(M92&gt;=VLOOKUP(M92,データ!$K$11:$O$16,1,TRUE),M92&lt;=VLOOKUP(M92,データ!$K$11:$O$16,2,TRUE)),VLOOKUP(M92,データ!$K$11:$O$16,5,TRUE),0)</f>
        <v>0</v>
      </c>
      <c r="D92" s="74" t="str">
        <f>IF(AND(M92&gt;=VLOOKUP(M92,データ!$K$11:$O$16,1,TRUE),M92&lt;=VLOOKUP(M92,データ!$K$11:$O$16,2,TRUE)),VLOOKUP(M92,データ!$K$11:$O$16,3,TRUE),"")</f>
        <v/>
      </c>
      <c r="E92" s="74">
        <f t="shared" si="73"/>
        <v>0.41666666666666669</v>
      </c>
      <c r="F92" s="75">
        <f>VLOOKUP(E92,データ!$K$20:$O$24,5,FALSE)</f>
        <v>0</v>
      </c>
      <c r="G92" s="74">
        <f>IF(AND(M92&gt;=VLOOKUP(M92,データ!$K$3:$O$6,1,TRUE),M92&lt;=VLOOKUP(M92,データ!$K$3:$O$6,2,TRUE)),VLOOKUP(M92,データ!$K$3:$O$6,4,TRUE),"")</f>
        <v>0.70833333333333337</v>
      </c>
      <c r="H92" s="256">
        <f>INDEX(データ!L$21:N$24,MATCH(配置表!E92,データ!K$21:K$24,0),MATCH(配置表!G92,データ!L$20:N$20,0))</f>
        <v>1</v>
      </c>
      <c r="I92" s="52" t="str">
        <f>IF(ISERROR(VLOOKUP(M92,データ!$A$3:$C$20,3,FALSE)),"",VLOOKUP(M92,データ!$A$3:$C$20,3,FALSE))</f>
        <v/>
      </c>
      <c r="J92" s="52" t="str">
        <f t="shared" si="74"/>
        <v/>
      </c>
      <c r="K92" s="53">
        <f t="shared" si="85"/>
        <v>0</v>
      </c>
      <c r="L92" s="28" t="str">
        <f t="shared" si="75"/>
        <v/>
      </c>
      <c r="M92" s="9">
        <f t="shared" si="86"/>
        <v>45828</v>
      </c>
      <c r="N92" s="8" t="str">
        <f t="shared" si="76"/>
        <v>金</v>
      </c>
      <c r="O92" s="62" t="str">
        <f>IF(AND(M92&gt;=VLOOKUP(M92,データ!$E$3:$G$9,1,TRUE),M92&lt;=VLOOKUP(M92,データ!$E$3:$G$9,2,TRUE)),VLOOKUP(M92,データ!$E$3:$G$9,3,TRUE),"")</f>
        <v>夏　特別展</v>
      </c>
      <c r="P92" s="63" t="str">
        <f>IF(AND(M92&gt;=VLOOKUP(M92,データ!$E$14:$G$21,1,TRUE),M92&lt;=VLOOKUP(M92,データ!$E$14:$G$21,2,TRUE)),VLOOKUP(M92,データ!$E$14:$G$21,3,TRUE),"")</f>
        <v>テーマ展</v>
      </c>
      <c r="Q92" s="44" t="str">
        <f t="shared" si="77"/>
        <v>○</v>
      </c>
      <c r="R92" s="45"/>
      <c r="S92" s="33" t="str">
        <f t="shared" si="92"/>
        <v/>
      </c>
      <c r="T92" s="45"/>
      <c r="U92" s="33" t="str">
        <f t="shared" si="93"/>
        <v>●</v>
      </c>
      <c r="V92" s="32"/>
      <c r="W92" s="33" t="str">
        <f t="shared" si="94"/>
        <v>○</v>
      </c>
      <c r="X92" s="8"/>
      <c r="Y92" s="33" t="str">
        <f t="shared" si="81"/>
        <v>○</v>
      </c>
      <c r="Z92" s="8">
        <f>IF(L92="閉","",(IF(AND(M92&gt;=VLOOKUP(M92,データ!$E$3:$G$9,1,TRUE),M92&lt;=VLOOKUP(M92,データ!$E$3:$G$9,2,TRUE)),VLOOKUP(M92,データ!$E$3:$H$9,4,TRUE),0)+IF(AND(M92&gt;=VLOOKUP(M92,データ!$E$14:$G$21,1,TRUE),M92&lt;=VLOOKUP(M92,データ!$E$14:$G$21,2,TRUE)),VLOOKUP(M92,データ!$E$14:$H$21,4,TRUE),0)))</f>
        <v>5</v>
      </c>
      <c r="AA92" s="33" t="str">
        <f t="shared" si="82"/>
        <v>○</v>
      </c>
      <c r="AB92" s="227">
        <f t="shared" si="83"/>
        <v>0.41666666666666669</v>
      </c>
      <c r="AC92" s="227">
        <f t="shared" si="84"/>
        <v>0.70833333333333337</v>
      </c>
      <c r="AD92" s="228" t="str">
        <f>IF(K92=1,IF(ISERROR(VLOOKUP(M92,データ!$A$3:$C$23,2,FALSE)),"",VLOOKUP(M92,データ!$A$3:$C$23,2,FALSE)),(IF(ISERROR(VLOOKUP(M92,データ!$A$3:$C$23,2,FALSE)),"",VLOOKUP(M92,データ!$A$3:$C$23,2,FALSE))))</f>
        <v/>
      </c>
    </row>
    <row r="93" spans="1:30">
      <c r="A93" s="1">
        <f>IF(AND(M93&gt;=VLOOKUP(M93,データ!$K$3:$O$6,1,TRUE),M93&lt;=VLOOKUP(M93,データ!$K$3:$O$6,2,TRUE)),VLOOKUP(M93,データ!$K$3:$O$6,5,TRUE),"")</f>
        <v>1</v>
      </c>
      <c r="B93" s="74">
        <f>IF(AND(M93&gt;=VLOOKUP(M93,データ!$K$3:$O$6,1,TRUE),M93&lt;=VLOOKUP(M93,データ!$K$3:$O$6,2,TRUE)),VLOOKUP(M93,データ!$K$3:$O$6,3,TRUE),"")</f>
        <v>0.41666666666666669</v>
      </c>
      <c r="C93" s="1">
        <f>IF(AND(M93&gt;=VLOOKUP(M93,データ!$K$11:$O$16,1,TRUE),M93&lt;=VLOOKUP(M93,データ!$K$11:$O$16,2,TRUE)),VLOOKUP(M93,データ!$K$11:$O$16,5,TRUE),0)</f>
        <v>0</v>
      </c>
      <c r="D93" s="74" t="str">
        <f>IF(AND(M93&gt;=VLOOKUP(M93,データ!$K$11:$O$16,1,TRUE),M93&lt;=VLOOKUP(M93,データ!$K$11:$O$16,2,TRUE)),VLOOKUP(M93,データ!$K$11:$O$16,3,TRUE),"")</f>
        <v/>
      </c>
      <c r="E93" s="74">
        <f t="shared" si="73"/>
        <v>0.41666666666666669</v>
      </c>
      <c r="F93" s="75">
        <f>VLOOKUP(E93,データ!$K$20:$O$24,5,FALSE)</f>
        <v>0</v>
      </c>
      <c r="G93" s="74">
        <f>IF(AND(M93&gt;=VLOOKUP(M93,データ!$K$3:$O$6,1,TRUE),M93&lt;=VLOOKUP(M93,データ!$K$3:$O$6,2,TRUE)),VLOOKUP(M93,データ!$K$3:$O$6,4,TRUE),"")</f>
        <v>0.70833333333333337</v>
      </c>
      <c r="H93" s="256">
        <f>INDEX(データ!L$21:N$24,MATCH(配置表!E93,データ!K$21:K$24,0),MATCH(配置表!G93,データ!L$20:N$20,0))</f>
        <v>1</v>
      </c>
      <c r="I93" s="52" t="str">
        <f>IF(ISERROR(VLOOKUP(M93,データ!$A$3:$C$20,3,FALSE)),"",VLOOKUP(M93,データ!$A$3:$C$20,3,FALSE))</f>
        <v/>
      </c>
      <c r="J93" s="52" t="str">
        <f t="shared" si="74"/>
        <v/>
      </c>
      <c r="K93" s="53">
        <f t="shared" si="85"/>
        <v>0</v>
      </c>
      <c r="L93" s="28" t="str">
        <f t="shared" si="75"/>
        <v/>
      </c>
      <c r="M93" s="9">
        <f t="shared" si="86"/>
        <v>45829</v>
      </c>
      <c r="N93" s="8" t="str">
        <f t="shared" si="76"/>
        <v>土</v>
      </c>
      <c r="O93" s="62" t="str">
        <f>IF(AND(M93&gt;=VLOOKUP(M93,データ!$E$3:$G$9,1,TRUE),M93&lt;=VLOOKUP(M93,データ!$E$3:$G$9,2,TRUE)),VLOOKUP(M93,データ!$E$3:$G$9,3,TRUE),"")</f>
        <v>夏　特別展</v>
      </c>
      <c r="P93" s="63" t="str">
        <f>IF(AND(M93&gt;=VLOOKUP(M93,データ!$E$14:$G$21,1,TRUE),M93&lt;=VLOOKUP(M93,データ!$E$14:$G$21,2,TRUE)),VLOOKUP(M93,データ!$E$14:$G$21,3,TRUE),"")</f>
        <v>テーマ展</v>
      </c>
      <c r="Q93" s="44" t="str">
        <f t="shared" si="77"/>
        <v>○</v>
      </c>
      <c r="R93" s="45"/>
      <c r="S93" s="10" t="str">
        <f t="shared" ref="S93:S94" si="95">IF(L93="閉","休",IF(O93="","",IF(O93="冬　特別展",IF(OR(N93="土",N93="日",I93=1),"○",""),"○")))</f>
        <v>○</v>
      </c>
      <c r="T93" s="45"/>
      <c r="U93" s="33" t="str">
        <f t="shared" si="93"/>
        <v>●</v>
      </c>
      <c r="V93" s="32"/>
      <c r="W93" s="33" t="str">
        <f t="shared" ref="W93:W94" si="96">IF(L93="閉","休",IF(O93="","",IF(OR(N93="土",N93="日",I93=1),IF(OR(O93="ダミー　特別展",O93="ダミー　特別展"),"◎",IF(OR(O93="夏　特別展",O93="秋　特別展",O93="春　特別展"),"◎","")),"")))</f>
        <v>◎</v>
      </c>
      <c r="X93" s="8"/>
      <c r="Y93" s="33" t="str">
        <f t="shared" si="81"/>
        <v>○</v>
      </c>
      <c r="Z93" s="8">
        <f>IF(L93="閉","",(IF(AND(M93&gt;=VLOOKUP(M93,データ!$E$3:$G$9,1,TRUE),M93&lt;=VLOOKUP(M93,データ!$E$3:$G$9,2,TRUE)),VLOOKUP(M93,データ!$E$3:$H$9,4,TRUE),0)+IF(AND(M93&gt;=VLOOKUP(M93,データ!$E$14:$G$21,1,TRUE),M93&lt;=VLOOKUP(M93,データ!$E$14:$G$21,2,TRUE)),VLOOKUP(M93,データ!$E$14:$H$21,4,TRUE),0)))</f>
        <v>5</v>
      </c>
      <c r="AA93" s="33" t="str">
        <f t="shared" si="82"/>
        <v>○</v>
      </c>
      <c r="AB93" s="227">
        <f t="shared" si="83"/>
        <v>0.41666666666666669</v>
      </c>
      <c r="AC93" s="227">
        <f t="shared" si="84"/>
        <v>0.70833333333333337</v>
      </c>
      <c r="AD93" s="228" t="str">
        <f>IF(K93=1,IF(ISERROR(VLOOKUP(M93,データ!$A$3:$C$23,2,FALSE)),"",VLOOKUP(M93,データ!$A$3:$C$23,2,FALSE)),(IF(ISERROR(VLOOKUP(M93,データ!$A$3:$C$23,2,FALSE)),"",VLOOKUP(M93,データ!$A$3:$C$23,2,FALSE))))</f>
        <v/>
      </c>
    </row>
    <row r="94" spans="1:30">
      <c r="A94" s="1">
        <f>IF(AND(M94&gt;=VLOOKUP(M94,データ!$K$3:$O$6,1,TRUE),M94&lt;=VLOOKUP(M94,データ!$K$3:$O$6,2,TRUE)),VLOOKUP(M94,データ!$K$3:$O$6,5,TRUE),"")</f>
        <v>1</v>
      </c>
      <c r="B94" s="74">
        <f>IF(AND(M94&gt;=VLOOKUP(M94,データ!$K$3:$O$6,1,TRUE),M94&lt;=VLOOKUP(M94,データ!$K$3:$O$6,2,TRUE)),VLOOKUP(M94,データ!$K$3:$O$6,3,TRUE),"")</f>
        <v>0.41666666666666669</v>
      </c>
      <c r="C94" s="1">
        <f>IF(AND(M94&gt;=VLOOKUP(M94,データ!$K$11:$O$16,1,TRUE),M94&lt;=VLOOKUP(M94,データ!$K$11:$O$16,2,TRUE)),VLOOKUP(M94,データ!$K$11:$O$16,5,TRUE),0)</f>
        <v>0</v>
      </c>
      <c r="D94" s="74" t="str">
        <f>IF(AND(M94&gt;=VLOOKUP(M94,データ!$K$11:$O$16,1,TRUE),M94&lt;=VLOOKUP(M94,データ!$K$11:$O$16,2,TRUE)),VLOOKUP(M94,データ!$K$11:$O$16,3,TRUE),"")</f>
        <v/>
      </c>
      <c r="E94" s="74">
        <f t="shared" si="73"/>
        <v>0.41666666666666669</v>
      </c>
      <c r="F94" s="75">
        <f>VLOOKUP(E94,データ!$K$20:$O$24,5,FALSE)</f>
        <v>0</v>
      </c>
      <c r="G94" s="74">
        <f>IF(AND(M94&gt;=VLOOKUP(M94,データ!$K$3:$O$6,1,TRUE),M94&lt;=VLOOKUP(M94,データ!$K$3:$O$6,2,TRUE)),VLOOKUP(M94,データ!$K$3:$O$6,4,TRUE),"")</f>
        <v>0.70833333333333337</v>
      </c>
      <c r="H94" s="256">
        <f>INDEX(データ!L$21:N$24,MATCH(配置表!E94,データ!K$21:K$24,0),MATCH(配置表!G94,データ!L$20:N$20,0))</f>
        <v>1</v>
      </c>
      <c r="I94" s="52" t="str">
        <f>IF(ISERROR(VLOOKUP(M94,データ!$A$3:$C$20,3,FALSE)),"",VLOOKUP(M94,データ!$A$3:$C$20,3,FALSE))</f>
        <v/>
      </c>
      <c r="J94" s="52" t="str">
        <f t="shared" si="74"/>
        <v/>
      </c>
      <c r="K94" s="53">
        <f>IF(K93=2,IF(I94=1,2,1),IF(I94=1,IF(J94=1,2,0),IF(J94=1,1,0)))</f>
        <v>0</v>
      </c>
      <c r="L94" s="28" t="str">
        <f t="shared" si="75"/>
        <v/>
      </c>
      <c r="M94" s="9">
        <f t="shared" si="86"/>
        <v>45830</v>
      </c>
      <c r="N94" s="8" t="str">
        <f t="shared" si="76"/>
        <v>日</v>
      </c>
      <c r="O94" s="62" t="str">
        <f>IF(AND(M94&gt;=VLOOKUP(M94,データ!$E$3:$G$9,1,TRUE),M94&lt;=VLOOKUP(M94,データ!$E$3:$G$9,2,TRUE)),VLOOKUP(M94,データ!$E$3:$G$9,3,TRUE),"")</f>
        <v>夏　特別展</v>
      </c>
      <c r="P94" s="63" t="str">
        <f>IF(AND(M94&gt;=VLOOKUP(M94,データ!$E$14:$G$21,1,TRUE),M94&lt;=VLOOKUP(M94,データ!$E$14:$G$21,2,TRUE)),VLOOKUP(M94,データ!$E$14:$G$21,3,TRUE),"")</f>
        <v>テーマ展</v>
      </c>
      <c r="Q94" s="44" t="str">
        <f t="shared" si="77"/>
        <v>○</v>
      </c>
      <c r="R94" s="45"/>
      <c r="S94" s="10" t="str">
        <f t="shared" si="95"/>
        <v>○</v>
      </c>
      <c r="T94" s="45"/>
      <c r="U94" s="33" t="str">
        <f t="shared" si="93"/>
        <v>●</v>
      </c>
      <c r="V94" s="32"/>
      <c r="W94" s="33" t="str">
        <f t="shared" si="96"/>
        <v>◎</v>
      </c>
      <c r="X94" s="8"/>
      <c r="Y94" s="33" t="str">
        <f t="shared" si="81"/>
        <v>○</v>
      </c>
      <c r="Z94" s="8">
        <f>IF(L94="閉","",(IF(AND(M94&gt;=VLOOKUP(M94,データ!$E$3:$G$9,1,TRUE),M94&lt;=VLOOKUP(M94,データ!$E$3:$G$9,2,TRUE)),VLOOKUP(M94,データ!$E$3:$H$9,4,TRUE),0)+IF(AND(M94&gt;=VLOOKUP(M94,データ!$E$14:$G$21,1,TRUE),M94&lt;=VLOOKUP(M94,データ!$E$14:$G$21,2,TRUE)),VLOOKUP(M94,データ!$E$14:$H$21,4,TRUE),0)))</f>
        <v>5</v>
      </c>
      <c r="AA94" s="33" t="str">
        <f t="shared" si="82"/>
        <v>○</v>
      </c>
      <c r="AB94" s="227">
        <f t="shared" si="83"/>
        <v>0.41666666666666669</v>
      </c>
      <c r="AC94" s="227">
        <f t="shared" si="84"/>
        <v>0.70833333333333337</v>
      </c>
      <c r="AD94" s="228" t="str">
        <f>IF(K94=1,IF(ISERROR(VLOOKUP(M94,データ!$A$3:$C$23,2,FALSE)),"",VLOOKUP(M94,データ!$A$3:$C$23,2,FALSE)),(IF(ISERROR(VLOOKUP(M94,データ!$A$3:$C$23,2,FALSE)),"",VLOOKUP(M94,データ!$A$3:$C$23,2,FALSE))))</f>
        <v/>
      </c>
    </row>
    <row r="95" spans="1:30">
      <c r="A95" s="1">
        <f>IF(AND(M95&gt;=VLOOKUP(M95,データ!$K$3:$O$6,1,TRUE),M95&lt;=VLOOKUP(M95,データ!$K$3:$O$6,2,TRUE)),VLOOKUP(M95,データ!$K$3:$O$6,5,TRUE),"")</f>
        <v>1</v>
      </c>
      <c r="B95" s="74">
        <f>IF(AND(M95&gt;=VLOOKUP(M95,データ!$K$3:$O$6,1,TRUE),M95&lt;=VLOOKUP(M95,データ!$K$3:$O$6,2,TRUE)),VLOOKUP(M95,データ!$K$3:$O$6,3,TRUE),"")</f>
        <v>0.41666666666666669</v>
      </c>
      <c r="C95" s="1">
        <f>IF(AND(M95&gt;=VLOOKUP(M95,データ!$K$11:$O$16,1,TRUE),M95&lt;=VLOOKUP(M95,データ!$K$11:$O$16,2,TRUE)),VLOOKUP(M95,データ!$K$11:$O$16,5,TRUE),0)</f>
        <v>0</v>
      </c>
      <c r="D95" s="74" t="str">
        <f>IF(AND(M95&gt;=VLOOKUP(M95,データ!$K$11:$O$16,1,TRUE),M95&lt;=VLOOKUP(M95,データ!$K$11:$O$16,2,TRUE)),VLOOKUP(M95,データ!$K$11:$O$16,3,TRUE),"")</f>
        <v/>
      </c>
      <c r="E95" s="74">
        <f t="shared" si="73"/>
        <v>0.41666666666666669</v>
      </c>
      <c r="F95" s="75">
        <f>VLOOKUP(E95,データ!$K$20:$O$24,5,FALSE)</f>
        <v>0</v>
      </c>
      <c r="G95" s="74">
        <f>IF(AND(M95&gt;=VLOOKUP(M95,データ!$K$3:$O$6,1,TRUE),M95&lt;=VLOOKUP(M95,データ!$K$3:$O$6,2,TRUE)),VLOOKUP(M95,データ!$K$3:$O$6,4,TRUE),"")</f>
        <v>0.70833333333333337</v>
      </c>
      <c r="H95" s="256">
        <f>INDEX(データ!L$21:N$24,MATCH(配置表!E95,データ!K$21:K$24,0),MATCH(配置表!G95,データ!L$20:N$20,0))</f>
        <v>1</v>
      </c>
      <c r="I95" s="52" t="str">
        <f>IF(ISERROR(VLOOKUP(M95,データ!$A$3:$C$20,3,FALSE)),"",VLOOKUP(M95,データ!$A$3:$C$20,3,FALSE))</f>
        <v/>
      </c>
      <c r="J95" s="52">
        <f t="shared" si="74"/>
        <v>1</v>
      </c>
      <c r="K95" s="53">
        <f t="shared" si="85"/>
        <v>1</v>
      </c>
      <c r="L95" s="28" t="str">
        <f t="shared" si="75"/>
        <v>閉</v>
      </c>
      <c r="M95" s="9">
        <f t="shared" si="86"/>
        <v>45831</v>
      </c>
      <c r="N95" s="8" t="str">
        <f t="shared" si="76"/>
        <v>月</v>
      </c>
      <c r="O95" s="62" t="str">
        <f>IF(AND(M95&gt;=VLOOKUP(M95,データ!$E$3:$G$9,1,TRUE),M95&lt;=VLOOKUP(M95,データ!$E$3:$G$9,2,TRUE)),VLOOKUP(M95,データ!$E$3:$G$9,3,TRUE),"")</f>
        <v>夏　特別展</v>
      </c>
      <c r="P95" s="63" t="str">
        <f>IF(AND(M95&gt;=VLOOKUP(M95,データ!$E$14:$G$21,1,TRUE),M95&lt;=VLOOKUP(M95,データ!$E$14:$G$21,2,TRUE)),VLOOKUP(M95,データ!$E$14:$G$21,3,TRUE),"")</f>
        <v>テーマ展</v>
      </c>
      <c r="Q95" s="44" t="str">
        <f t="shared" si="77"/>
        <v>休</v>
      </c>
      <c r="R95" s="8"/>
      <c r="S95" s="33" t="str">
        <f t="shared" si="78"/>
        <v>休</v>
      </c>
      <c r="T95" s="8"/>
      <c r="U95" s="33" t="str">
        <f t="shared" si="79"/>
        <v>休</v>
      </c>
      <c r="V95" s="8"/>
      <c r="W95" s="33" t="str">
        <f t="shared" si="80"/>
        <v>休</v>
      </c>
      <c r="X95" s="8"/>
      <c r="Y95" s="33" t="str">
        <f t="shared" si="81"/>
        <v>休</v>
      </c>
      <c r="Z95" s="8" t="str">
        <f>IF(L95="閉","",(IF(AND(M95&gt;=VLOOKUP(M95,データ!$E$3:$G$9,1,TRUE),M95&lt;=VLOOKUP(M95,データ!$E$3:$G$9,2,TRUE)),VLOOKUP(M95,データ!$E$3:$H$9,4,TRUE),0)+IF(AND(M95&gt;=VLOOKUP(M95,データ!$E$14:$G$21,1,TRUE),M95&lt;=VLOOKUP(M95,データ!$E$14:$G$21,2,TRUE)),VLOOKUP(M95,データ!$E$14:$H$21,4,TRUE),0)))</f>
        <v/>
      </c>
      <c r="AA95" s="33" t="str">
        <f t="shared" si="82"/>
        <v>休</v>
      </c>
      <c r="AB95" s="227" t="str">
        <f t="shared" si="83"/>
        <v/>
      </c>
      <c r="AC95" s="227" t="str">
        <f t="shared" si="84"/>
        <v/>
      </c>
      <c r="AD95" s="228" t="str">
        <f>IF(K95=1,IF(ISERROR(VLOOKUP(M95,データ!$A$3:$C$23,2,FALSE)),"",VLOOKUP(M95,データ!$A$3:$C$23,2,FALSE)),(IF(ISERROR(VLOOKUP(M95,データ!$A$3:$C$23,2,FALSE)),"",VLOOKUP(M95,データ!$A$3:$C$23,2,FALSE))))</f>
        <v/>
      </c>
    </row>
    <row r="96" spans="1:30">
      <c r="A96" s="1">
        <f>IF(AND(M96&gt;=VLOOKUP(M96,データ!$K$3:$O$6,1,TRUE),M96&lt;=VLOOKUP(M96,データ!$K$3:$O$6,2,TRUE)),VLOOKUP(M96,データ!$K$3:$O$6,5,TRUE),"")</f>
        <v>1</v>
      </c>
      <c r="B96" s="74">
        <f>IF(AND(M96&gt;=VLOOKUP(M96,データ!$K$3:$O$6,1,TRUE),M96&lt;=VLOOKUP(M96,データ!$K$3:$O$6,2,TRUE)),VLOOKUP(M96,データ!$K$3:$O$6,3,TRUE),"")</f>
        <v>0.41666666666666669</v>
      </c>
      <c r="C96" s="1">
        <f>IF(AND(M96&gt;=VLOOKUP(M96,データ!$K$11:$O$16,1,TRUE),M96&lt;=VLOOKUP(M96,データ!$K$11:$O$16,2,TRUE)),VLOOKUP(M96,データ!$K$11:$O$16,5,TRUE),0)</f>
        <v>0</v>
      </c>
      <c r="D96" s="74" t="str">
        <f>IF(AND(M96&gt;=VLOOKUP(M96,データ!$K$11:$O$16,1,TRUE),M96&lt;=VLOOKUP(M96,データ!$K$11:$O$16,2,TRUE)),VLOOKUP(M96,データ!$K$11:$O$16,3,TRUE),"")</f>
        <v/>
      </c>
      <c r="E96" s="74">
        <f t="shared" si="73"/>
        <v>0.41666666666666669</v>
      </c>
      <c r="F96" s="75">
        <f>VLOOKUP(E96,データ!$K$20:$O$24,5,FALSE)</f>
        <v>0</v>
      </c>
      <c r="G96" s="74">
        <f>IF(AND(M96&gt;=VLOOKUP(M96,データ!$K$3:$O$6,1,TRUE),M96&lt;=VLOOKUP(M96,データ!$K$3:$O$6,2,TRUE)),VLOOKUP(M96,データ!$K$3:$O$6,4,TRUE),"")</f>
        <v>0.70833333333333337</v>
      </c>
      <c r="H96" s="256">
        <f>INDEX(データ!L$21:N$24,MATCH(配置表!E96,データ!K$21:K$24,0),MATCH(配置表!G96,データ!L$20:N$20,0))</f>
        <v>1</v>
      </c>
      <c r="I96" s="52" t="str">
        <f>IF(ISERROR(VLOOKUP(M96,データ!$A$3:$C$20,3,FALSE)),"",VLOOKUP(M96,データ!$A$3:$C$20,3,FALSE))</f>
        <v/>
      </c>
      <c r="J96" s="52" t="str">
        <f t="shared" si="74"/>
        <v/>
      </c>
      <c r="K96" s="53">
        <f t="shared" si="85"/>
        <v>0</v>
      </c>
      <c r="L96" s="28" t="str">
        <f t="shared" si="75"/>
        <v/>
      </c>
      <c r="M96" s="9">
        <f t="shared" si="86"/>
        <v>45832</v>
      </c>
      <c r="N96" s="8" t="str">
        <f t="shared" si="76"/>
        <v>火</v>
      </c>
      <c r="O96" s="62" t="str">
        <f>IF(AND(M96&gt;=VLOOKUP(M96,データ!$E$3:$G$9,1,TRUE),M96&lt;=VLOOKUP(M96,データ!$E$3:$G$9,2,TRUE)),VLOOKUP(M96,データ!$E$3:$G$9,3,TRUE),"")</f>
        <v>夏　特別展</v>
      </c>
      <c r="P96" s="63" t="str">
        <f>IF(AND(M96&gt;=VLOOKUP(M96,データ!$E$14:$G$21,1,TRUE),M96&lt;=VLOOKUP(M96,データ!$E$14:$G$21,2,TRUE)),VLOOKUP(M96,データ!$E$14:$G$21,3,TRUE),"")</f>
        <v>テーマ展</v>
      </c>
      <c r="Q96" s="44" t="str">
        <f t="shared" si="77"/>
        <v>○</v>
      </c>
      <c r="R96" s="45"/>
      <c r="S96" s="33" t="str">
        <f t="shared" ref="S96:S99" si="97">IF(H96="閉","休",IF(K96="","",IF(OR(J96="土",J96="日",E96=1),IF(OR(K96="ダミー　特別展",K96="ダミー　特別展"),"◎",IF(OR(K96="夏　特別展",K96="秋　特別展",K96="春　特別展"),"○","")),"")))</f>
        <v/>
      </c>
      <c r="T96" s="45"/>
      <c r="U96" s="33" t="str">
        <f t="shared" si="79"/>
        <v>●</v>
      </c>
      <c r="V96" s="32"/>
      <c r="W96" s="33" t="str">
        <f t="shared" ref="W96:W99" si="98">IF(P96="閉","休",IF(O96="","",IF(O96="冬　特別展",IF(OR(N96="土",N96="日",M96=1),"○",""),"○")))</f>
        <v>○</v>
      </c>
      <c r="X96" s="8"/>
      <c r="Y96" s="33" t="str">
        <f t="shared" si="81"/>
        <v>○</v>
      </c>
      <c r="Z96" s="8">
        <f>IF(L96="閉","",(IF(AND(M96&gt;=VLOOKUP(M96,データ!$E$3:$G$9,1,TRUE),M96&lt;=VLOOKUP(M96,データ!$E$3:$G$9,2,TRUE)),VLOOKUP(M96,データ!$E$3:$H$9,4,TRUE),0)+IF(AND(M96&gt;=VLOOKUP(M96,データ!$E$14:$G$21,1,TRUE),M96&lt;=VLOOKUP(M96,データ!$E$14:$G$21,2,TRUE)),VLOOKUP(M96,データ!$E$14:$H$21,4,TRUE),0)))</f>
        <v>5</v>
      </c>
      <c r="AA96" s="33" t="str">
        <f t="shared" si="82"/>
        <v>○</v>
      </c>
      <c r="AB96" s="227">
        <f t="shared" si="83"/>
        <v>0.41666666666666669</v>
      </c>
      <c r="AC96" s="227">
        <f t="shared" si="84"/>
        <v>0.70833333333333337</v>
      </c>
      <c r="AD96" s="228" t="str">
        <f>IF(K96=1,IF(ISERROR(VLOOKUP(M96,データ!$A$3:$C$23,2,FALSE)),"",VLOOKUP(M96,データ!$A$3:$C$23,2,FALSE)),(IF(ISERROR(VLOOKUP(M96,データ!$A$3:$C$23,2,FALSE)),"",VLOOKUP(M96,データ!$A$3:$C$23,2,FALSE))))</f>
        <v/>
      </c>
    </row>
    <row r="97" spans="1:30">
      <c r="A97" s="1">
        <f>IF(AND(M97&gt;=VLOOKUP(M97,データ!$K$3:$O$6,1,TRUE),M97&lt;=VLOOKUP(M97,データ!$K$3:$O$6,2,TRUE)),VLOOKUP(M97,データ!$K$3:$O$6,5,TRUE),"")</f>
        <v>1</v>
      </c>
      <c r="B97" s="74">
        <f>IF(AND(M97&gt;=VLOOKUP(M97,データ!$K$3:$O$6,1,TRUE),M97&lt;=VLOOKUP(M97,データ!$K$3:$O$6,2,TRUE)),VLOOKUP(M97,データ!$K$3:$O$6,3,TRUE),"")</f>
        <v>0.41666666666666669</v>
      </c>
      <c r="C97" s="1">
        <f>IF(AND(M97&gt;=VLOOKUP(M97,データ!$K$11:$O$16,1,TRUE),M97&lt;=VLOOKUP(M97,データ!$K$11:$O$16,2,TRUE)),VLOOKUP(M97,データ!$K$11:$O$16,5,TRUE),0)</f>
        <v>0</v>
      </c>
      <c r="D97" s="74" t="str">
        <f>IF(AND(M97&gt;=VLOOKUP(M97,データ!$K$11:$O$16,1,TRUE),M97&lt;=VLOOKUP(M97,データ!$K$11:$O$16,2,TRUE)),VLOOKUP(M97,データ!$K$11:$O$16,3,TRUE),"")</f>
        <v/>
      </c>
      <c r="E97" s="74">
        <f t="shared" si="73"/>
        <v>0.41666666666666669</v>
      </c>
      <c r="F97" s="75">
        <f>VLOOKUP(E97,データ!$K$20:$O$24,5,FALSE)</f>
        <v>0</v>
      </c>
      <c r="G97" s="74">
        <f>IF(AND(M97&gt;=VLOOKUP(M97,データ!$K$3:$O$6,1,TRUE),M97&lt;=VLOOKUP(M97,データ!$K$3:$O$6,2,TRUE)),VLOOKUP(M97,データ!$K$3:$O$6,4,TRUE),"")</f>
        <v>0.70833333333333337</v>
      </c>
      <c r="H97" s="256">
        <f>INDEX(データ!L$21:N$24,MATCH(配置表!E97,データ!K$21:K$24,0),MATCH(配置表!G97,データ!L$20:N$20,0))</f>
        <v>1</v>
      </c>
      <c r="I97" s="52" t="str">
        <f>IF(ISERROR(VLOOKUP(M97,データ!$A$3:$C$20,3,FALSE)),"",VLOOKUP(M97,データ!$A$3:$C$20,3,FALSE))</f>
        <v/>
      </c>
      <c r="J97" s="52" t="str">
        <f t="shared" si="74"/>
        <v/>
      </c>
      <c r="K97" s="53">
        <f t="shared" si="85"/>
        <v>0</v>
      </c>
      <c r="L97" s="28" t="str">
        <f t="shared" si="75"/>
        <v/>
      </c>
      <c r="M97" s="9">
        <f t="shared" si="86"/>
        <v>45833</v>
      </c>
      <c r="N97" s="8" t="str">
        <f t="shared" si="76"/>
        <v>水</v>
      </c>
      <c r="O97" s="62" t="str">
        <f>IF(AND(M97&gt;=VLOOKUP(M97,データ!$E$3:$G$9,1,TRUE),M97&lt;=VLOOKUP(M97,データ!$E$3:$G$9,2,TRUE)),VLOOKUP(M97,データ!$E$3:$G$9,3,TRUE),"")</f>
        <v>夏　特別展</v>
      </c>
      <c r="P97" s="63" t="str">
        <f>IF(AND(M97&gt;=VLOOKUP(M97,データ!$E$14:$G$21,1,TRUE),M97&lt;=VLOOKUP(M97,データ!$E$14:$G$21,2,TRUE)),VLOOKUP(M97,データ!$E$14:$G$21,3,TRUE),"")</f>
        <v>テーマ展</v>
      </c>
      <c r="Q97" s="44" t="str">
        <f t="shared" si="77"/>
        <v>○</v>
      </c>
      <c r="R97" s="45"/>
      <c r="S97" s="33" t="str">
        <f t="shared" si="97"/>
        <v/>
      </c>
      <c r="T97" s="45"/>
      <c r="U97" s="33" t="str">
        <f t="shared" si="79"/>
        <v>●</v>
      </c>
      <c r="V97" s="32"/>
      <c r="W97" s="33" t="str">
        <f t="shared" si="98"/>
        <v>○</v>
      </c>
      <c r="X97" s="8"/>
      <c r="Y97" s="33" t="str">
        <f t="shared" si="81"/>
        <v>○</v>
      </c>
      <c r="Z97" s="8">
        <f>IF(L97="閉","",(IF(AND(M97&gt;=VLOOKUP(M97,データ!$E$3:$G$9,1,TRUE),M97&lt;=VLOOKUP(M97,データ!$E$3:$G$9,2,TRUE)),VLOOKUP(M97,データ!$E$3:$H$9,4,TRUE),0)+IF(AND(M97&gt;=VLOOKUP(M97,データ!$E$14:$G$21,1,TRUE),M97&lt;=VLOOKUP(M97,データ!$E$14:$G$21,2,TRUE)),VLOOKUP(M97,データ!$E$14:$H$21,4,TRUE),0)))</f>
        <v>5</v>
      </c>
      <c r="AA97" s="33" t="str">
        <f t="shared" si="82"/>
        <v>○</v>
      </c>
      <c r="AB97" s="227">
        <f t="shared" si="83"/>
        <v>0.41666666666666669</v>
      </c>
      <c r="AC97" s="227">
        <f t="shared" si="84"/>
        <v>0.70833333333333337</v>
      </c>
      <c r="AD97" s="228" t="str">
        <f>IF(K97=1,IF(ISERROR(VLOOKUP(M97,データ!$A$3:$C$23,2,FALSE)),"",VLOOKUP(M97,データ!$A$3:$C$23,2,FALSE)),(IF(ISERROR(VLOOKUP(M97,データ!$A$3:$C$23,2,FALSE)),"",VLOOKUP(M97,データ!$A$3:$C$23,2,FALSE))))</f>
        <v/>
      </c>
    </row>
    <row r="98" spans="1:30">
      <c r="A98" s="1">
        <f>IF(AND(M98&gt;=VLOOKUP(M98,データ!$K$3:$O$6,1,TRUE),M98&lt;=VLOOKUP(M98,データ!$K$3:$O$6,2,TRUE)),VLOOKUP(M98,データ!$K$3:$O$6,5,TRUE),"")</f>
        <v>1</v>
      </c>
      <c r="B98" s="74">
        <f>IF(AND(M98&gt;=VLOOKUP(M98,データ!$K$3:$O$6,1,TRUE),M98&lt;=VLOOKUP(M98,データ!$K$3:$O$6,2,TRUE)),VLOOKUP(M98,データ!$K$3:$O$6,3,TRUE),"")</f>
        <v>0.41666666666666669</v>
      </c>
      <c r="C98" s="1">
        <f>IF(AND(M98&gt;=VLOOKUP(M98,データ!$K$11:$O$16,1,TRUE),M98&lt;=VLOOKUP(M98,データ!$K$11:$O$16,2,TRUE)),VLOOKUP(M98,データ!$K$11:$O$16,5,TRUE),0)</f>
        <v>0</v>
      </c>
      <c r="D98" s="74" t="str">
        <f>IF(AND(M98&gt;=VLOOKUP(M98,データ!$K$11:$O$16,1,TRUE),M98&lt;=VLOOKUP(M98,データ!$K$11:$O$16,2,TRUE)),VLOOKUP(M98,データ!$K$11:$O$16,3,TRUE),"")</f>
        <v/>
      </c>
      <c r="E98" s="74">
        <f t="shared" si="73"/>
        <v>0.41666666666666669</v>
      </c>
      <c r="F98" s="75">
        <f>VLOOKUP(E98,データ!$K$20:$O$24,5,FALSE)</f>
        <v>0</v>
      </c>
      <c r="G98" s="74">
        <f>IF(AND(M98&gt;=VLOOKUP(M98,データ!$K$3:$O$6,1,TRUE),M98&lt;=VLOOKUP(M98,データ!$K$3:$O$6,2,TRUE)),VLOOKUP(M98,データ!$K$3:$O$6,4,TRUE),"")</f>
        <v>0.70833333333333337</v>
      </c>
      <c r="H98" s="256">
        <f>INDEX(データ!L$21:N$24,MATCH(配置表!E98,データ!K$21:K$24,0),MATCH(配置表!G98,データ!L$20:N$20,0))</f>
        <v>1</v>
      </c>
      <c r="I98" s="52" t="str">
        <f>IF(ISERROR(VLOOKUP(M98,データ!$A$3:$C$20,3,FALSE)),"",VLOOKUP(M98,データ!$A$3:$C$20,3,FALSE))</f>
        <v/>
      </c>
      <c r="J98" s="52" t="str">
        <f t="shared" si="74"/>
        <v/>
      </c>
      <c r="K98" s="53">
        <f t="shared" si="85"/>
        <v>0</v>
      </c>
      <c r="L98" s="28" t="str">
        <f t="shared" si="75"/>
        <v/>
      </c>
      <c r="M98" s="9">
        <f t="shared" si="86"/>
        <v>45834</v>
      </c>
      <c r="N98" s="8" t="str">
        <f t="shared" si="76"/>
        <v>木</v>
      </c>
      <c r="O98" s="62" t="str">
        <f>IF(AND(M98&gt;=VLOOKUP(M98,データ!$E$3:$G$9,1,TRUE),M98&lt;=VLOOKUP(M98,データ!$E$3:$G$9,2,TRUE)),VLOOKUP(M98,データ!$E$3:$G$9,3,TRUE),"")</f>
        <v>夏　特別展</v>
      </c>
      <c r="P98" s="63" t="str">
        <f>IF(AND(M98&gt;=VLOOKUP(M98,データ!$E$14:$G$21,1,TRUE),M98&lt;=VLOOKUP(M98,データ!$E$14:$G$21,2,TRUE)),VLOOKUP(M98,データ!$E$14:$G$21,3,TRUE),"")</f>
        <v>テーマ展</v>
      </c>
      <c r="Q98" s="44" t="str">
        <f t="shared" si="77"/>
        <v>○</v>
      </c>
      <c r="R98" s="45"/>
      <c r="S98" s="33" t="str">
        <f t="shared" si="97"/>
        <v/>
      </c>
      <c r="T98" s="45"/>
      <c r="U98" s="33" t="str">
        <f t="shared" si="79"/>
        <v>●</v>
      </c>
      <c r="V98" s="32"/>
      <c r="W98" s="33" t="str">
        <f t="shared" si="98"/>
        <v>○</v>
      </c>
      <c r="X98" s="8"/>
      <c r="Y98" s="33" t="str">
        <f t="shared" si="81"/>
        <v>○</v>
      </c>
      <c r="Z98" s="8">
        <f>IF(L98="閉","",(IF(AND(M98&gt;=VLOOKUP(M98,データ!$E$3:$G$9,1,TRUE),M98&lt;=VLOOKUP(M98,データ!$E$3:$G$9,2,TRUE)),VLOOKUP(M98,データ!$E$3:$H$9,4,TRUE),0)+IF(AND(M98&gt;=VLOOKUP(M98,データ!$E$14:$G$21,1,TRUE),M98&lt;=VLOOKUP(M98,データ!$E$14:$G$21,2,TRUE)),VLOOKUP(M98,データ!$E$14:$H$21,4,TRUE),0)))</f>
        <v>5</v>
      </c>
      <c r="AA98" s="33" t="str">
        <f t="shared" si="82"/>
        <v>○</v>
      </c>
      <c r="AB98" s="227">
        <f t="shared" si="83"/>
        <v>0.41666666666666669</v>
      </c>
      <c r="AC98" s="227">
        <f t="shared" si="84"/>
        <v>0.70833333333333337</v>
      </c>
      <c r="AD98" s="228" t="str">
        <f>IF(K98=1,IF(ISERROR(VLOOKUP(M98,データ!$A$3:$C$23,2,FALSE)),"",VLOOKUP(M98,データ!$A$3:$C$23,2,FALSE)),(IF(ISERROR(VLOOKUP(M98,データ!$A$3:$C$23,2,FALSE)),"",VLOOKUP(M98,データ!$A$3:$C$23,2,FALSE))))</f>
        <v/>
      </c>
    </row>
    <row r="99" spans="1:30">
      <c r="A99" s="1">
        <f>IF(AND(M99&gt;=VLOOKUP(M99,データ!$K$3:$O$6,1,TRUE),M99&lt;=VLOOKUP(M99,データ!$K$3:$O$6,2,TRUE)),VLOOKUP(M99,データ!$K$3:$O$6,5,TRUE),"")</f>
        <v>1</v>
      </c>
      <c r="B99" s="74">
        <f>IF(AND(M99&gt;=VLOOKUP(M99,データ!$K$3:$O$6,1,TRUE),M99&lt;=VLOOKUP(M99,データ!$K$3:$O$6,2,TRUE)),VLOOKUP(M99,データ!$K$3:$O$6,3,TRUE),"")</f>
        <v>0.41666666666666669</v>
      </c>
      <c r="C99" s="1">
        <f>IF(AND(M99&gt;=VLOOKUP(M99,データ!$K$11:$O$16,1,TRUE),M99&lt;=VLOOKUP(M99,データ!$K$11:$O$16,2,TRUE)),VLOOKUP(M99,データ!$K$11:$O$16,5,TRUE),0)</f>
        <v>0</v>
      </c>
      <c r="D99" s="74" t="str">
        <f>IF(AND(M99&gt;=VLOOKUP(M99,データ!$K$11:$O$16,1,TRUE),M99&lt;=VLOOKUP(M99,データ!$K$11:$O$16,2,TRUE)),VLOOKUP(M99,データ!$K$11:$O$16,3,TRUE),"")</f>
        <v/>
      </c>
      <c r="E99" s="74">
        <f t="shared" si="73"/>
        <v>0.41666666666666669</v>
      </c>
      <c r="F99" s="75">
        <f>VLOOKUP(E99,データ!$K$20:$O$24,5,FALSE)</f>
        <v>0</v>
      </c>
      <c r="G99" s="74">
        <f>IF(AND(M99&gt;=VLOOKUP(M99,データ!$K$3:$O$6,1,TRUE),M99&lt;=VLOOKUP(M99,データ!$K$3:$O$6,2,TRUE)),VLOOKUP(M99,データ!$K$3:$O$6,4,TRUE),"")</f>
        <v>0.70833333333333337</v>
      </c>
      <c r="H99" s="256">
        <f>INDEX(データ!L$21:N$24,MATCH(配置表!E99,データ!K$21:K$24,0),MATCH(配置表!G99,データ!L$20:N$20,0))</f>
        <v>1</v>
      </c>
      <c r="I99" s="52" t="str">
        <f>IF(ISERROR(VLOOKUP(M99,データ!$A$3:$C$20,3,FALSE)),"",VLOOKUP(M99,データ!$A$3:$C$20,3,FALSE))</f>
        <v/>
      </c>
      <c r="J99" s="52" t="str">
        <f t="shared" si="74"/>
        <v/>
      </c>
      <c r="K99" s="53">
        <f t="shared" si="85"/>
        <v>0</v>
      </c>
      <c r="L99" s="28" t="str">
        <f t="shared" si="75"/>
        <v/>
      </c>
      <c r="M99" s="9">
        <f t="shared" si="86"/>
        <v>45835</v>
      </c>
      <c r="N99" s="8" t="str">
        <f t="shared" si="76"/>
        <v>金</v>
      </c>
      <c r="O99" s="62" t="str">
        <f>IF(AND(M99&gt;=VLOOKUP(M99,データ!$E$3:$G$9,1,TRUE),M99&lt;=VLOOKUP(M99,データ!$E$3:$G$9,2,TRUE)),VLOOKUP(M99,データ!$E$3:$G$9,3,TRUE),"")</f>
        <v>夏　特別展</v>
      </c>
      <c r="P99" s="63" t="str">
        <f>IF(AND(M99&gt;=VLOOKUP(M99,データ!$E$14:$G$21,1,TRUE),M99&lt;=VLOOKUP(M99,データ!$E$14:$G$21,2,TRUE)),VLOOKUP(M99,データ!$E$14:$G$21,3,TRUE),"")</f>
        <v>テーマ展</v>
      </c>
      <c r="Q99" s="44" t="str">
        <f t="shared" si="77"/>
        <v>○</v>
      </c>
      <c r="R99" s="45"/>
      <c r="S99" s="33" t="str">
        <f t="shared" si="97"/>
        <v/>
      </c>
      <c r="T99" s="45"/>
      <c r="U99" s="33" t="str">
        <f t="shared" si="79"/>
        <v>●</v>
      </c>
      <c r="V99" s="32"/>
      <c r="W99" s="33" t="str">
        <f t="shared" si="98"/>
        <v>○</v>
      </c>
      <c r="X99" s="8"/>
      <c r="Y99" s="33" t="str">
        <f t="shared" si="81"/>
        <v>○</v>
      </c>
      <c r="Z99" s="8">
        <f>IF(L99="閉","",(IF(AND(M99&gt;=VLOOKUP(M99,データ!$E$3:$G$9,1,TRUE),M99&lt;=VLOOKUP(M99,データ!$E$3:$G$9,2,TRUE)),VLOOKUP(M99,データ!$E$3:$H$9,4,TRUE),0)+IF(AND(M99&gt;=VLOOKUP(M99,データ!$E$14:$G$21,1,TRUE),M99&lt;=VLOOKUP(M99,データ!$E$14:$G$21,2,TRUE)),VLOOKUP(M99,データ!$E$14:$H$21,4,TRUE),0)))</f>
        <v>5</v>
      </c>
      <c r="AA99" s="33" t="str">
        <f t="shared" si="82"/>
        <v>○</v>
      </c>
      <c r="AB99" s="227">
        <f t="shared" si="83"/>
        <v>0.41666666666666669</v>
      </c>
      <c r="AC99" s="227">
        <f t="shared" si="84"/>
        <v>0.70833333333333337</v>
      </c>
      <c r="AD99" s="228" t="str">
        <f>IF(K99=1,IF(ISERROR(VLOOKUP(M99,データ!$A$3:$C$23,2,FALSE)),"",VLOOKUP(M99,データ!$A$3:$C$23,2,FALSE)),(IF(ISERROR(VLOOKUP(M99,データ!$A$3:$C$23,2,FALSE)),"",VLOOKUP(M99,データ!$A$3:$C$23,2,FALSE))))</f>
        <v/>
      </c>
    </row>
    <row r="100" spans="1:30">
      <c r="A100" s="1">
        <f>IF(AND(M100&gt;=VLOOKUP(M100,データ!$K$3:$O$6,1,TRUE),M100&lt;=VLOOKUP(M100,データ!$K$3:$O$6,2,TRUE)),VLOOKUP(M100,データ!$K$3:$O$6,5,TRUE),"")</f>
        <v>1</v>
      </c>
      <c r="B100" s="74">
        <f>IF(AND(M100&gt;=VLOOKUP(M100,データ!$K$3:$O$6,1,TRUE),M100&lt;=VLOOKUP(M100,データ!$K$3:$O$6,2,TRUE)),VLOOKUP(M100,データ!$K$3:$O$6,3,TRUE),"")</f>
        <v>0.41666666666666669</v>
      </c>
      <c r="C100" s="1">
        <f>IF(AND(M100&gt;=VLOOKUP(M100,データ!$K$11:$O$16,1,TRUE),M100&lt;=VLOOKUP(M100,データ!$K$11:$O$16,2,TRUE)),VLOOKUP(M100,データ!$K$11:$O$16,5,TRUE),0)</f>
        <v>0</v>
      </c>
      <c r="D100" s="74" t="str">
        <f>IF(AND(M100&gt;=VLOOKUP(M100,データ!$K$11:$O$16,1,TRUE),M100&lt;=VLOOKUP(M100,データ!$K$11:$O$16,2,TRUE)),VLOOKUP(M100,データ!$K$11:$O$16,3,TRUE),"")</f>
        <v/>
      </c>
      <c r="E100" s="74">
        <f t="shared" si="73"/>
        <v>0.41666666666666669</v>
      </c>
      <c r="F100" s="75">
        <f>VLOOKUP(E100,データ!$K$20:$O$24,5,FALSE)</f>
        <v>0</v>
      </c>
      <c r="G100" s="74">
        <f>IF(AND(M100&gt;=VLOOKUP(M100,データ!$K$3:$O$6,1,TRUE),M100&lt;=VLOOKUP(M100,データ!$K$3:$O$6,2,TRUE)),VLOOKUP(M100,データ!$K$3:$O$6,4,TRUE),"")</f>
        <v>0.70833333333333337</v>
      </c>
      <c r="H100" s="256">
        <f>INDEX(データ!L$21:N$24,MATCH(配置表!E100,データ!K$21:K$24,0),MATCH(配置表!G100,データ!L$20:N$20,0))</f>
        <v>1</v>
      </c>
      <c r="I100" s="52" t="str">
        <f>IF(ISERROR(VLOOKUP(M100,データ!$A$3:$C$20,3,FALSE)),"",VLOOKUP(M100,データ!$A$3:$C$20,3,FALSE))</f>
        <v/>
      </c>
      <c r="J100" s="52" t="str">
        <f t="shared" si="74"/>
        <v/>
      </c>
      <c r="K100" s="53">
        <f t="shared" si="85"/>
        <v>0</v>
      </c>
      <c r="L100" s="28" t="str">
        <f t="shared" si="75"/>
        <v/>
      </c>
      <c r="M100" s="9">
        <f t="shared" si="86"/>
        <v>45836</v>
      </c>
      <c r="N100" s="8" t="str">
        <f t="shared" si="76"/>
        <v>土</v>
      </c>
      <c r="O100" s="62" t="str">
        <f>IF(AND(M100&gt;=VLOOKUP(M100,データ!$E$3:$G$9,1,TRUE),M100&lt;=VLOOKUP(M100,データ!$E$3:$G$9,2,TRUE)),VLOOKUP(M100,データ!$E$3:$G$9,3,TRUE),"")</f>
        <v>夏　特別展</v>
      </c>
      <c r="P100" s="63" t="str">
        <f>IF(AND(M100&gt;=VLOOKUP(M100,データ!$E$14:$G$21,1,TRUE),M100&lt;=VLOOKUP(M100,データ!$E$14:$G$21,2,TRUE)),VLOOKUP(M100,データ!$E$14:$G$21,3,TRUE),"")</f>
        <v>テーマ展</v>
      </c>
      <c r="Q100" s="44" t="str">
        <f t="shared" si="77"/>
        <v>○</v>
      </c>
      <c r="R100" s="45"/>
      <c r="S100" s="10" t="str">
        <f t="shared" ref="S100:S101" si="99">IF(L100="閉","休",IF(O100="","",IF(O100="冬　特別展",IF(OR(N100="土",N100="日",I100=1),"○",""),"○")))</f>
        <v>○</v>
      </c>
      <c r="T100" s="45"/>
      <c r="U100" s="33" t="str">
        <f t="shared" si="79"/>
        <v>●</v>
      </c>
      <c r="V100" s="32"/>
      <c r="W100" s="33" t="str">
        <f t="shared" ref="W100:W101" si="100">IF(L100="閉","休",IF(O100="","",IF(OR(N100="土",N100="日",I100=1),IF(OR(O100="ダミー　特別展",O100="ダミー　特別展"),"◎",IF(OR(O100="夏　特別展",O100="秋　特別展",O100="春　特別展"),"◎","")),"")))</f>
        <v>◎</v>
      </c>
      <c r="X100" s="8"/>
      <c r="Y100" s="33" t="str">
        <f t="shared" si="81"/>
        <v>○</v>
      </c>
      <c r="Z100" s="8">
        <f>IF(L100="閉","",(IF(AND(M100&gt;=VLOOKUP(M100,データ!$E$3:$G$9,1,TRUE),M100&lt;=VLOOKUP(M100,データ!$E$3:$G$9,2,TRUE)),VLOOKUP(M100,データ!$E$3:$H$9,4,TRUE),0)+IF(AND(M100&gt;=VLOOKUP(M100,データ!$E$14:$G$21,1,TRUE),M100&lt;=VLOOKUP(M100,データ!$E$14:$G$21,2,TRUE)),VLOOKUP(M100,データ!$E$14:$H$21,4,TRUE),0)))</f>
        <v>5</v>
      </c>
      <c r="AA100" s="33" t="str">
        <f t="shared" si="82"/>
        <v>○</v>
      </c>
      <c r="AB100" s="227">
        <f t="shared" si="83"/>
        <v>0.41666666666666669</v>
      </c>
      <c r="AC100" s="227">
        <f t="shared" si="84"/>
        <v>0.70833333333333337</v>
      </c>
      <c r="AD100" s="228" t="str">
        <f>IF(K100=1,IF(ISERROR(VLOOKUP(M100,データ!$A$3:$C$23,2,FALSE)),"",VLOOKUP(M100,データ!$A$3:$C$23,2,FALSE)),(IF(ISERROR(VLOOKUP(M100,データ!$A$3:$C$23,2,FALSE)),"",VLOOKUP(M100,データ!$A$3:$C$23,2,FALSE))))</f>
        <v/>
      </c>
    </row>
    <row r="101" spans="1:30">
      <c r="A101" s="1">
        <f>IF(AND(M101&gt;=VLOOKUP(M101,データ!$K$3:$O$6,1,TRUE),M101&lt;=VLOOKUP(M101,データ!$K$3:$O$6,2,TRUE)),VLOOKUP(M101,データ!$K$3:$O$6,5,TRUE),"")</f>
        <v>1</v>
      </c>
      <c r="B101" s="74">
        <f>IF(AND(M101&gt;=VLOOKUP(M101,データ!$K$3:$O$6,1,TRUE),M101&lt;=VLOOKUP(M101,データ!$K$3:$O$6,2,TRUE)),VLOOKUP(M101,データ!$K$3:$O$6,3,TRUE),"")</f>
        <v>0.41666666666666669</v>
      </c>
      <c r="C101" s="1">
        <f>IF(AND(M101&gt;=VLOOKUP(M101,データ!$K$11:$O$16,1,TRUE),M101&lt;=VLOOKUP(M101,データ!$K$11:$O$16,2,TRUE)),VLOOKUP(M101,データ!$K$11:$O$16,5,TRUE),0)</f>
        <v>0</v>
      </c>
      <c r="D101" s="74" t="str">
        <f>IF(AND(M101&gt;=VLOOKUP(M101,データ!$K$11:$O$16,1,TRUE),M101&lt;=VLOOKUP(M101,データ!$K$11:$O$16,2,TRUE)),VLOOKUP(M101,データ!$K$11:$O$16,3,TRUE),"")</f>
        <v/>
      </c>
      <c r="E101" s="74">
        <f t="shared" si="73"/>
        <v>0.41666666666666669</v>
      </c>
      <c r="F101" s="75">
        <f>VLOOKUP(E101,データ!$K$20:$O$24,5,FALSE)</f>
        <v>0</v>
      </c>
      <c r="G101" s="74">
        <f>IF(AND(M101&gt;=VLOOKUP(M101,データ!$K$3:$O$6,1,TRUE),M101&lt;=VLOOKUP(M101,データ!$K$3:$O$6,2,TRUE)),VLOOKUP(M101,データ!$K$3:$O$6,4,TRUE),"")</f>
        <v>0.70833333333333337</v>
      </c>
      <c r="H101" s="256">
        <f>INDEX(データ!L$21:N$24,MATCH(配置表!E101,データ!K$21:K$24,0),MATCH(配置表!G101,データ!L$20:N$20,0))</f>
        <v>1</v>
      </c>
      <c r="I101" s="52" t="str">
        <f>IF(ISERROR(VLOOKUP(M101,データ!$A$3:$C$20,3,FALSE)),"",VLOOKUP(M101,データ!$A$3:$C$20,3,FALSE))</f>
        <v/>
      </c>
      <c r="J101" s="52" t="str">
        <f t="shared" si="74"/>
        <v/>
      </c>
      <c r="K101" s="53">
        <f t="shared" si="85"/>
        <v>0</v>
      </c>
      <c r="L101" s="28" t="str">
        <f t="shared" si="75"/>
        <v/>
      </c>
      <c r="M101" s="9">
        <f t="shared" si="86"/>
        <v>45837</v>
      </c>
      <c r="N101" s="8" t="str">
        <f t="shared" si="76"/>
        <v>日</v>
      </c>
      <c r="O101" s="62" t="str">
        <f>IF(AND(M101&gt;=VLOOKUP(M101,データ!$E$3:$G$9,1,TRUE),M101&lt;=VLOOKUP(M101,データ!$E$3:$G$9,2,TRUE)),VLOOKUP(M101,データ!$E$3:$G$9,3,TRUE),"")</f>
        <v>夏　特別展</v>
      </c>
      <c r="P101" s="63" t="str">
        <f>IF(AND(M101&gt;=VLOOKUP(M101,データ!$E$14:$G$21,1,TRUE),M101&lt;=VLOOKUP(M101,データ!$E$14:$G$21,2,TRUE)),VLOOKUP(M101,データ!$E$14:$G$21,3,TRUE),"")</f>
        <v>テーマ展</v>
      </c>
      <c r="Q101" s="44" t="str">
        <f t="shared" si="77"/>
        <v>○</v>
      </c>
      <c r="R101" s="45"/>
      <c r="S101" s="10" t="str">
        <f t="shared" si="99"/>
        <v>○</v>
      </c>
      <c r="T101" s="45"/>
      <c r="U101" s="33" t="str">
        <f t="shared" si="79"/>
        <v>●</v>
      </c>
      <c r="V101" s="32"/>
      <c r="W101" s="33" t="str">
        <f t="shared" si="100"/>
        <v>◎</v>
      </c>
      <c r="X101" s="8"/>
      <c r="Y101" s="33" t="str">
        <f t="shared" si="81"/>
        <v>○</v>
      </c>
      <c r="Z101" s="8">
        <f>IF(L101="閉","",(IF(AND(M101&gt;=VLOOKUP(M101,データ!$E$3:$G$9,1,TRUE),M101&lt;=VLOOKUP(M101,データ!$E$3:$G$9,2,TRUE)),VLOOKUP(M101,データ!$E$3:$H$9,4,TRUE),0)+IF(AND(M101&gt;=VLOOKUP(M101,データ!$E$14:$G$21,1,TRUE),M101&lt;=VLOOKUP(M101,データ!$E$14:$G$21,2,TRUE)),VLOOKUP(M101,データ!$E$14:$H$21,4,TRUE),0)))</f>
        <v>5</v>
      </c>
      <c r="AA101" s="33" t="str">
        <f t="shared" si="82"/>
        <v>○</v>
      </c>
      <c r="AB101" s="227">
        <f t="shared" si="83"/>
        <v>0.41666666666666669</v>
      </c>
      <c r="AC101" s="227">
        <f t="shared" si="84"/>
        <v>0.70833333333333337</v>
      </c>
      <c r="AD101" s="228" t="str">
        <f>IF(K101=1,IF(ISERROR(VLOOKUP(M101,データ!$A$3:$C$23,2,FALSE)),"",VLOOKUP(M101,データ!$A$3:$C$23,2,FALSE)),(IF(ISERROR(VLOOKUP(M101,データ!$A$3:$C$23,2,FALSE)),"",VLOOKUP(M101,データ!$A$3:$C$23,2,FALSE))))</f>
        <v/>
      </c>
    </row>
    <row r="102" spans="1:30">
      <c r="A102" s="1">
        <f>IF(AND(M102&gt;=VLOOKUP(M102,データ!$K$3:$O$6,1,TRUE),M102&lt;=VLOOKUP(M102,データ!$K$3:$O$6,2,TRUE)),VLOOKUP(M102,データ!$K$3:$O$6,5,TRUE),"")</f>
        <v>1</v>
      </c>
      <c r="B102" s="74">
        <f>IF(AND(M102&gt;=VLOOKUP(M102,データ!$K$3:$O$6,1,TRUE),M102&lt;=VLOOKUP(M102,データ!$K$3:$O$6,2,TRUE)),VLOOKUP(M102,データ!$K$3:$O$6,3,TRUE),"")</f>
        <v>0.41666666666666669</v>
      </c>
      <c r="C102" s="1">
        <f>IF(AND(M102&gt;=VLOOKUP(M102,データ!$K$11:$O$16,1,TRUE),M102&lt;=VLOOKUP(M102,データ!$K$11:$O$16,2,TRUE)),VLOOKUP(M102,データ!$K$11:$O$16,5,TRUE),0)</f>
        <v>0</v>
      </c>
      <c r="D102" s="74" t="str">
        <f>IF(AND(M102&gt;=VLOOKUP(M102,データ!$K$11:$O$16,1,TRUE),M102&lt;=VLOOKUP(M102,データ!$K$11:$O$16,2,TRUE)),VLOOKUP(M102,データ!$K$11:$O$16,3,TRUE),"")</f>
        <v/>
      </c>
      <c r="E102" s="74">
        <f t="shared" si="73"/>
        <v>0.41666666666666669</v>
      </c>
      <c r="F102" s="75">
        <f>VLOOKUP(E102,データ!$K$20:$O$24,5,FALSE)</f>
        <v>0</v>
      </c>
      <c r="G102" s="74">
        <f>IF(AND(M102&gt;=VLOOKUP(M102,データ!$K$3:$O$6,1,TRUE),M102&lt;=VLOOKUP(M102,データ!$K$3:$O$6,2,TRUE)),VLOOKUP(M102,データ!$K$3:$O$6,4,TRUE),"")</f>
        <v>0.70833333333333337</v>
      </c>
      <c r="H102" s="256">
        <f>INDEX(データ!L$21:N$24,MATCH(配置表!E102,データ!K$21:K$24,0),MATCH(配置表!G102,データ!L$20:N$20,0))</f>
        <v>1</v>
      </c>
      <c r="I102" s="52" t="str">
        <f>IF(ISERROR(VLOOKUP(M102,データ!$A$3:$C$20,3,FALSE)),"",VLOOKUP(M102,データ!$A$3:$C$20,3,FALSE))</f>
        <v/>
      </c>
      <c r="J102" s="52">
        <f t="shared" si="74"/>
        <v>1</v>
      </c>
      <c r="K102" s="53">
        <f t="shared" si="85"/>
        <v>1</v>
      </c>
      <c r="L102" s="28" t="str">
        <f t="shared" si="75"/>
        <v>閉</v>
      </c>
      <c r="M102" s="9">
        <f t="shared" si="86"/>
        <v>45838</v>
      </c>
      <c r="N102" s="8" t="str">
        <f t="shared" si="76"/>
        <v>月</v>
      </c>
      <c r="O102" s="62" t="str">
        <f>IF(AND(M102&gt;=VLOOKUP(M102,データ!$E$3:$G$9,1,TRUE),M102&lt;=VLOOKUP(M102,データ!$E$3:$G$9,2,TRUE)),VLOOKUP(M102,データ!$E$3:$G$9,3,TRUE),"")</f>
        <v>夏　特別展</v>
      </c>
      <c r="P102" s="63" t="str">
        <f>IF(AND(M102&gt;=VLOOKUP(M102,データ!$E$14:$G$21,1,TRUE),M102&lt;=VLOOKUP(M102,データ!$E$14:$G$21,2,TRUE)),VLOOKUP(M102,データ!$E$14:$G$21,3,TRUE),"")</f>
        <v>テーマ展</v>
      </c>
      <c r="Q102" s="44" t="str">
        <f t="shared" si="77"/>
        <v>休</v>
      </c>
      <c r="R102" s="8"/>
      <c r="S102" s="33" t="str">
        <f t="shared" si="78"/>
        <v>休</v>
      </c>
      <c r="T102" s="8"/>
      <c r="U102" s="33" t="str">
        <f t="shared" si="79"/>
        <v>休</v>
      </c>
      <c r="V102" s="8"/>
      <c r="W102" s="33" t="str">
        <f t="shared" si="80"/>
        <v>休</v>
      </c>
      <c r="X102" s="8"/>
      <c r="Y102" s="33" t="str">
        <f t="shared" si="81"/>
        <v>休</v>
      </c>
      <c r="Z102" s="8" t="str">
        <f>IF(L102="閉","",(IF(AND(M102&gt;=VLOOKUP(M102,データ!$E$3:$G$9,1,TRUE),M102&lt;=VLOOKUP(M102,データ!$E$3:$G$9,2,TRUE)),VLOOKUP(M102,データ!$E$3:$H$9,4,TRUE),0)+IF(AND(M102&gt;=VLOOKUP(M102,データ!$E$14:$G$21,1,TRUE),M102&lt;=VLOOKUP(M102,データ!$E$14:$G$21,2,TRUE)),VLOOKUP(M102,データ!$E$14:$H$21,4,TRUE),0)))</f>
        <v/>
      </c>
      <c r="AA102" s="33" t="str">
        <f t="shared" si="82"/>
        <v>休</v>
      </c>
      <c r="AB102" s="227" t="str">
        <f t="shared" si="83"/>
        <v/>
      </c>
      <c r="AC102" s="227" t="str">
        <f t="shared" si="84"/>
        <v/>
      </c>
      <c r="AD102" s="228" t="str">
        <f>IF(K102=1,IF(ISERROR(VLOOKUP(M102,データ!$A$3:$C$23,2,FALSE)),"",VLOOKUP(M102,データ!$A$3:$C$23,2,FALSE)),(IF(ISERROR(VLOOKUP(M102,データ!$A$3:$C$23,2,FALSE)),"",VLOOKUP(M102,データ!$A$3:$C$23,2,FALSE))))</f>
        <v/>
      </c>
    </row>
    <row r="103" spans="1:30" ht="12" thickBot="1">
      <c r="H103" s="256"/>
      <c r="I103" s="52"/>
      <c r="J103" s="52"/>
      <c r="K103" s="53"/>
      <c r="L103" s="28" t="str">
        <f t="shared" si="72"/>
        <v/>
      </c>
      <c r="M103" s="61"/>
      <c r="N103" s="27"/>
      <c r="O103" s="64"/>
      <c r="P103" s="65"/>
      <c r="Q103" s="40" t="s">
        <v>2</v>
      </c>
      <c r="R103" s="41"/>
      <c r="S103" s="22" t="str">
        <f t="shared" ref="S103" si="101">IF(K103=1,"休",IF(O103="","","○"))</f>
        <v/>
      </c>
      <c r="T103" s="41"/>
      <c r="U103" s="22"/>
      <c r="V103" s="23"/>
      <c r="W103" s="34" t="str">
        <f t="shared" ref="W103" si="102">IF(L103="閉","休",IF(O103="","",IF(OR(N103="土",N103="日",I103=1),IF(OR(O103="ダミー　特別展",O103="秋　特別展"),"◎",IF(OR(O103="夏　特別展",O103="秋　特別展",O103="春　特別展"),"○","")),"")))</f>
        <v/>
      </c>
      <c r="X103" s="27"/>
      <c r="Y103" s="34"/>
      <c r="Z103" s="27"/>
      <c r="AA103" s="34" t="s">
        <v>2</v>
      </c>
      <c r="AB103" s="229"/>
      <c r="AC103" s="233"/>
      <c r="AD103" s="231"/>
    </row>
    <row r="104" spans="1:30" ht="14.25" thickBot="1">
      <c r="H104" s="256"/>
      <c r="I104" s="52"/>
      <c r="J104" s="52"/>
      <c r="K104" s="53"/>
      <c r="L104" s="28" t="str">
        <f t="shared" si="72"/>
        <v/>
      </c>
      <c r="M104" s="57"/>
      <c r="N104" s="50"/>
      <c r="O104" s="50"/>
      <c r="P104" s="50"/>
      <c r="Q104" s="50"/>
      <c r="R104" s="50"/>
      <c r="S104" s="50"/>
      <c r="T104" s="37"/>
      <c r="U104" s="37"/>
      <c r="V104" s="50"/>
      <c r="W104" s="50"/>
      <c r="X104" s="50"/>
      <c r="Y104" s="50"/>
      <c r="Z104" s="50"/>
      <c r="AA104" s="50"/>
      <c r="AB104" s="224" t="str">
        <f>IF(ISERROR(VLOOKUP(M104,データ!$A$3:$C$23,2,FALSE)),"",VLOOKUP(M104,データ!$A$3:$C$23,2,FALSE))</f>
        <v/>
      </c>
      <c r="AC104" s="2"/>
    </row>
    <row r="105" spans="1:30" customFormat="1" ht="27.75" customHeight="1" thickBot="1">
      <c r="H105" s="257"/>
      <c r="I105" s="52"/>
      <c r="J105" s="52"/>
      <c r="K105" s="53"/>
      <c r="L105" s="28" t="str">
        <f t="shared" si="72"/>
        <v/>
      </c>
      <c r="M105" s="58"/>
      <c r="N105" s="59"/>
      <c r="O105" s="42" t="s">
        <v>5</v>
      </c>
      <c r="P105" s="60" t="s">
        <v>6</v>
      </c>
      <c r="Q105" s="49" t="s">
        <v>8</v>
      </c>
      <c r="R105" s="354" t="s">
        <v>13</v>
      </c>
      <c r="S105" s="355"/>
      <c r="T105" s="354" t="s">
        <v>14</v>
      </c>
      <c r="U105" s="355"/>
      <c r="V105" s="354" t="s">
        <v>9</v>
      </c>
      <c r="W105" s="355"/>
      <c r="X105" s="354" t="s">
        <v>10</v>
      </c>
      <c r="Y105" s="355"/>
      <c r="Z105" s="354" t="s">
        <v>1</v>
      </c>
      <c r="AA105" s="355"/>
      <c r="AB105" s="38" t="s">
        <v>114</v>
      </c>
      <c r="AC105" s="38" t="s">
        <v>35</v>
      </c>
      <c r="AD105" s="38" t="s">
        <v>116</v>
      </c>
    </row>
    <row r="106" spans="1:30">
      <c r="A106" s="1">
        <f>IF(AND(M106&gt;=VLOOKUP(M106,データ!$K$3:$O$6,1,TRUE),M106&lt;=VLOOKUP(M106,データ!$K$3:$O$6,2,TRUE)),VLOOKUP(M106,データ!$K$3:$O$6,5,TRUE),"")</f>
        <v>1</v>
      </c>
      <c r="B106" s="74">
        <f>IF(AND(M106&gt;=VLOOKUP(M106,データ!$K$3:$O$6,1,TRUE),M106&lt;=VLOOKUP(M106,データ!$K$3:$O$6,2,TRUE)),VLOOKUP(M106,データ!$K$3:$O$6,3,TRUE),"")</f>
        <v>0.41666666666666669</v>
      </c>
      <c r="C106" s="1">
        <f>IF(AND(M106&gt;=VLOOKUP(M106,データ!$K$11:$O$16,1,TRUE),M106&lt;=VLOOKUP(M106,データ!$K$11:$O$16,2,TRUE)),VLOOKUP(M106,データ!$K$11:$O$16,5,TRUE),0)</f>
        <v>0</v>
      </c>
      <c r="D106" s="74" t="str">
        <f>IF(AND(M106&gt;=VLOOKUP(M106,データ!$K$11:$O$16,1,TRUE),M106&lt;=VLOOKUP(M106,データ!$K$11:$O$16,2,TRUE)),VLOOKUP(M106,データ!$K$11:$O$16,3,TRUE),"")</f>
        <v/>
      </c>
      <c r="E106" s="74">
        <f t="shared" ref="E106" si="103">IF(C106=2,IF(OR(N106="土",N106="日"),D106,B106),IF(C106=1,D106,B106))</f>
        <v>0.41666666666666669</v>
      </c>
      <c r="F106" s="75">
        <f>VLOOKUP(E106,データ!$K$20:$O$24,5,FALSE)</f>
        <v>0</v>
      </c>
      <c r="G106" s="74">
        <f>IF(AND(M106&gt;=VLOOKUP(M106,データ!$K$3:$O$6,1,TRUE),M106&lt;=VLOOKUP(M106,データ!$K$3:$O$6,2,TRUE)),VLOOKUP(M106,データ!$K$3:$O$6,4,TRUE),"")</f>
        <v>0.70833333333333337</v>
      </c>
      <c r="H106" s="256">
        <f>INDEX(データ!L$21:N$24,MATCH(配置表!E106,データ!K$21:K$24,0),MATCH(配置表!G106,データ!L$20:N$20,0))</f>
        <v>1</v>
      </c>
      <c r="I106" s="52" t="str">
        <f>IF(ISERROR(VLOOKUP(M106,データ!$A$3:$C$20,3,FALSE)),"",VLOOKUP(M106,データ!$A$3:$C$20,3,FALSE))</f>
        <v/>
      </c>
      <c r="J106" s="52" t="str">
        <f t="shared" ref="J106" si="104">IF(N106="月",1,"")</f>
        <v/>
      </c>
      <c r="K106" s="53">
        <f>IF(K102=2,IF(I106=1,2,1),IF(I106=1,IF(J106=1,2,0),IF(J106=1,1,0)))</f>
        <v>0</v>
      </c>
      <c r="L106" s="28" t="str">
        <f t="shared" ref="L106:L136" si="105">IF(AND(O106="",P106=""),"閉",IF(K106=1,"閉",""))</f>
        <v/>
      </c>
      <c r="M106" s="25">
        <f>M102+1</f>
        <v>45839</v>
      </c>
      <c r="N106" s="30" t="str">
        <f t="shared" ref="N106:N136" si="106">TEXT(WEEKDAY(M106,1),"aaa")</f>
        <v>火</v>
      </c>
      <c r="O106" s="69" t="str">
        <f>IF(AND(M106&gt;=VLOOKUP(M106,データ!$E$3:$G$9,1,TRUE),M106&lt;=VLOOKUP(M106,データ!$E$3:$G$9,2,TRUE)),VLOOKUP(M106,データ!$E$3:$G$9,3,TRUE),"")</f>
        <v>夏　特別展</v>
      </c>
      <c r="P106" s="66" t="str">
        <f>IF(AND(M106&gt;=VLOOKUP(M106,データ!$E$14:$G$21,1,TRUE),M106&lt;=VLOOKUP(M106,データ!$E$14:$G$21,2,TRUE)),VLOOKUP(M106,データ!$E$14:$G$21,3,TRUE),"")</f>
        <v>テーマ展</v>
      </c>
      <c r="Q106" s="44" t="str">
        <f t="shared" ref="Q106:Q136" si="107">IF(L106="閉","休","○")</f>
        <v>○</v>
      </c>
      <c r="R106" s="46"/>
      <c r="S106" s="33" t="str">
        <f t="shared" ref="S106:S109" si="108">IF(H106="閉","休",IF(K106="","",IF(OR(J106="土",J106="日",E106=1),IF(OR(K106="ダミー　特別展",K106="ダミー　特別展"),"◎",IF(OR(K106="夏　特別展",K106="秋　特別展",K106="春　特別展"),"○","")),"")))</f>
        <v/>
      </c>
      <c r="T106" s="45"/>
      <c r="U106" s="33" t="str">
        <f t="shared" ref="U106:U111" si="109">IF(L106="閉","休",IF(S106="","●","●"))</f>
        <v>●</v>
      </c>
      <c r="V106" s="32"/>
      <c r="W106" s="33" t="str">
        <f t="shared" ref="W106:W109" si="110">IF(P106="閉","休",IF(O106="","",IF(O106="冬　特別展",IF(OR(N106="土",N106="日",M106=1),"○",""),"○")))</f>
        <v>○</v>
      </c>
      <c r="X106" s="30"/>
      <c r="Y106" s="33" t="str">
        <f t="shared" ref="Y106:Y136" si="111">IF(L106="閉","休",IF(H106=1,"○",IF(H106=2,"●","Err")))</f>
        <v>○</v>
      </c>
      <c r="Z106" s="30">
        <f>IF(L106="閉","",(IF(AND(M106&gt;=VLOOKUP(M106,データ!$E$3:$G$9,1,TRUE),M106&lt;=VLOOKUP(M106,データ!$E$3:$G$9,2,TRUE)),VLOOKUP(M106,データ!$E$3:$H$9,4,TRUE),0)+IF(AND(M106&gt;=VLOOKUP(M106,データ!$E$14:$G$21,1,TRUE),M106&lt;=VLOOKUP(M106,データ!$E$14:$G$21,2,TRUE)),VLOOKUP(M106,データ!$E$14:$H$21,4,TRUE),0)))</f>
        <v>5</v>
      </c>
      <c r="AA106" s="33" t="str">
        <f t="shared" ref="AA106:AA136" si="112">IF(L106="閉","休",IF(O106="","△",IF(H106=1,"○",IF(H106=2,"●","Err"))))</f>
        <v>○</v>
      </c>
      <c r="AB106" s="232">
        <f t="shared" ref="AB106:AB136" si="113">IF(K106=1,"",E106)</f>
        <v>0.41666666666666669</v>
      </c>
      <c r="AC106" s="232">
        <f t="shared" ref="AC106:AC136" si="114">IF(K106=1,"",G106)</f>
        <v>0.70833333333333337</v>
      </c>
      <c r="AD106" s="226" t="str">
        <f>IF(K106=1,IF(ISERROR(VLOOKUP(M106,データ!$A$3:$C$23,2,FALSE)),"",VLOOKUP(M106,データ!$A$3:$C$23,2,FALSE)),(IF(ISERROR(VLOOKUP(M106,データ!$A$3:$C$23,2,FALSE)),"",VLOOKUP(M106,データ!$A$3:$C$23,2,FALSE))))</f>
        <v/>
      </c>
    </row>
    <row r="107" spans="1:30">
      <c r="A107" s="1">
        <f>IF(AND(M107&gt;=VLOOKUP(M107,データ!$K$3:$O$6,1,TRUE),M107&lt;=VLOOKUP(M107,データ!$K$3:$O$6,2,TRUE)),VLOOKUP(M107,データ!$K$3:$O$6,5,TRUE),"")</f>
        <v>1</v>
      </c>
      <c r="B107" s="74">
        <f>IF(AND(M107&gt;=VLOOKUP(M107,データ!$K$3:$O$6,1,TRUE),M107&lt;=VLOOKUP(M107,データ!$K$3:$O$6,2,TRUE)),VLOOKUP(M107,データ!$K$3:$O$6,3,TRUE),"")</f>
        <v>0.41666666666666669</v>
      </c>
      <c r="C107" s="1">
        <f>IF(AND(M107&gt;=VLOOKUP(M107,データ!$K$11:$O$16,1,TRUE),M107&lt;=VLOOKUP(M107,データ!$K$11:$O$16,2,TRUE)),VLOOKUP(M107,データ!$K$11:$O$16,5,TRUE),0)</f>
        <v>0</v>
      </c>
      <c r="D107" s="74" t="str">
        <f>IF(AND(M107&gt;=VLOOKUP(M107,データ!$K$11:$O$16,1,TRUE),M107&lt;=VLOOKUP(M107,データ!$K$11:$O$16,2,TRUE)),VLOOKUP(M107,データ!$K$11:$O$16,3,TRUE),"")</f>
        <v/>
      </c>
      <c r="E107" s="74">
        <f t="shared" ref="E107:E136" si="115">IF(C107=2,IF(OR(N107="土",N107="日"),D107,B107),IF(C107=1,D107,B107))</f>
        <v>0.41666666666666669</v>
      </c>
      <c r="F107" s="75">
        <f>VLOOKUP(E107,データ!$K$20:$O$24,5,FALSE)</f>
        <v>0</v>
      </c>
      <c r="G107" s="74">
        <f>IF(AND(M107&gt;=VLOOKUP(M107,データ!$K$3:$O$6,1,TRUE),M107&lt;=VLOOKUP(M107,データ!$K$3:$O$6,2,TRUE)),VLOOKUP(M107,データ!$K$3:$O$6,4,TRUE),"")</f>
        <v>0.70833333333333337</v>
      </c>
      <c r="H107" s="256">
        <f>INDEX(データ!L$21:N$24,MATCH(配置表!E107,データ!K$21:K$24,0),MATCH(配置表!G107,データ!L$20:N$20,0))</f>
        <v>1</v>
      </c>
      <c r="I107" s="52" t="str">
        <f>IF(ISERROR(VLOOKUP(M107,データ!$A$3:$C$20,3,FALSE)),"",VLOOKUP(M107,データ!$A$3:$C$20,3,FALSE))</f>
        <v/>
      </c>
      <c r="J107" s="52" t="str">
        <f t="shared" ref="J107:J136" si="116">IF(N107="月",1,"")</f>
        <v/>
      </c>
      <c r="K107" s="53">
        <f>IF(K106=2,IF(I107=1,2,1),IF(I107=1,IF(J107=1,2,0),IF(J107=1,1,0)))</f>
        <v>0</v>
      </c>
      <c r="L107" s="28" t="str">
        <f t="shared" si="105"/>
        <v/>
      </c>
      <c r="M107" s="9">
        <f>M106+1</f>
        <v>45840</v>
      </c>
      <c r="N107" s="8" t="str">
        <f t="shared" si="106"/>
        <v>水</v>
      </c>
      <c r="O107" s="62" t="str">
        <f>IF(AND(M107&gt;=VLOOKUP(M107,データ!$E$3:$G$9,1,TRUE),M107&lt;=VLOOKUP(M107,データ!$E$3:$G$9,2,TRUE)),VLOOKUP(M107,データ!$E$3:$G$9,3,TRUE),"")</f>
        <v>夏　特別展</v>
      </c>
      <c r="P107" s="67" t="str">
        <f>IF(AND(M107&gt;=VLOOKUP(M107,データ!$E$14:$G$21,1,TRUE),M107&lt;=VLOOKUP(M107,データ!$E$14:$G$21,2,TRUE)),VLOOKUP(M107,データ!$E$14:$G$21,3,TRUE),"")</f>
        <v>テーマ展</v>
      </c>
      <c r="Q107" s="44" t="str">
        <f t="shared" si="107"/>
        <v>○</v>
      </c>
      <c r="R107" s="45"/>
      <c r="S107" s="33" t="str">
        <f t="shared" si="108"/>
        <v/>
      </c>
      <c r="T107" s="45"/>
      <c r="U107" s="33" t="str">
        <f t="shared" si="109"/>
        <v>●</v>
      </c>
      <c r="V107" s="32"/>
      <c r="W107" s="33" t="str">
        <f t="shared" si="110"/>
        <v>○</v>
      </c>
      <c r="X107" s="8"/>
      <c r="Y107" s="33" t="str">
        <f t="shared" si="111"/>
        <v>○</v>
      </c>
      <c r="Z107" s="8">
        <f>IF(L107="閉","",(IF(AND(M107&gt;=VLOOKUP(M107,データ!$E$3:$G$9,1,TRUE),M107&lt;=VLOOKUP(M107,データ!$E$3:$G$9,2,TRUE)),VLOOKUP(M107,データ!$E$3:$H$9,4,TRUE),0)+IF(AND(M107&gt;=VLOOKUP(M107,データ!$E$14:$G$21,1,TRUE),M107&lt;=VLOOKUP(M107,データ!$E$14:$G$21,2,TRUE)),VLOOKUP(M107,データ!$E$14:$H$21,4,TRUE),0)))</f>
        <v>5</v>
      </c>
      <c r="AA107" s="33" t="str">
        <f t="shared" si="112"/>
        <v>○</v>
      </c>
      <c r="AB107" s="227">
        <f t="shared" si="113"/>
        <v>0.41666666666666669</v>
      </c>
      <c r="AC107" s="227">
        <f t="shared" si="114"/>
        <v>0.70833333333333337</v>
      </c>
      <c r="AD107" s="228" t="str">
        <f>IF(K107=1,IF(ISERROR(VLOOKUP(M107,データ!$A$3:$C$23,2,FALSE)),"",VLOOKUP(M107,データ!$A$3:$C$23,2,FALSE)),(IF(ISERROR(VLOOKUP(M107,データ!$A$3:$C$23,2,FALSE)),"",VLOOKUP(M107,データ!$A$3:$C$23,2,FALSE))))</f>
        <v/>
      </c>
    </row>
    <row r="108" spans="1:30">
      <c r="A108" s="1">
        <f>IF(AND(M108&gt;=VLOOKUP(M108,データ!$K$3:$O$6,1,TRUE),M108&lt;=VLOOKUP(M108,データ!$K$3:$O$6,2,TRUE)),VLOOKUP(M108,データ!$K$3:$O$6,5,TRUE),"")</f>
        <v>1</v>
      </c>
      <c r="B108" s="74">
        <f>IF(AND(M108&gt;=VLOOKUP(M108,データ!$K$3:$O$6,1,TRUE),M108&lt;=VLOOKUP(M108,データ!$K$3:$O$6,2,TRUE)),VLOOKUP(M108,データ!$K$3:$O$6,3,TRUE),"")</f>
        <v>0.41666666666666669</v>
      </c>
      <c r="C108" s="1">
        <f>IF(AND(M108&gt;=VLOOKUP(M108,データ!$K$11:$O$16,1,TRUE),M108&lt;=VLOOKUP(M108,データ!$K$11:$O$16,2,TRUE)),VLOOKUP(M108,データ!$K$11:$O$16,5,TRUE),0)</f>
        <v>0</v>
      </c>
      <c r="D108" s="74" t="str">
        <f>IF(AND(M108&gt;=VLOOKUP(M108,データ!$K$11:$O$16,1,TRUE),M108&lt;=VLOOKUP(M108,データ!$K$11:$O$16,2,TRUE)),VLOOKUP(M108,データ!$K$11:$O$16,3,TRUE),"")</f>
        <v/>
      </c>
      <c r="E108" s="74">
        <f t="shared" si="115"/>
        <v>0.41666666666666669</v>
      </c>
      <c r="F108" s="75">
        <f>VLOOKUP(E108,データ!$K$20:$O$24,5,FALSE)</f>
        <v>0</v>
      </c>
      <c r="G108" s="74">
        <f>IF(AND(M108&gt;=VLOOKUP(M108,データ!$K$3:$O$6,1,TRUE),M108&lt;=VLOOKUP(M108,データ!$K$3:$O$6,2,TRUE)),VLOOKUP(M108,データ!$K$3:$O$6,4,TRUE),"")</f>
        <v>0.70833333333333337</v>
      </c>
      <c r="H108" s="256">
        <f>INDEX(データ!L$21:N$24,MATCH(配置表!E108,データ!K$21:K$24,0),MATCH(配置表!G108,データ!L$20:N$20,0))</f>
        <v>1</v>
      </c>
      <c r="I108" s="52" t="str">
        <f>IF(ISERROR(VLOOKUP(M108,データ!$A$3:$C$20,3,FALSE)),"",VLOOKUP(M108,データ!$A$3:$C$20,3,FALSE))</f>
        <v/>
      </c>
      <c r="J108" s="52" t="str">
        <f t="shared" si="116"/>
        <v/>
      </c>
      <c r="K108" s="53">
        <f t="shared" ref="K108:K136" si="117">IF(K107=2,IF(I108=1,2,1),IF(I108=1,IF(J108=1,2,0),IF(J108=1,1,0)))</f>
        <v>0</v>
      </c>
      <c r="L108" s="28" t="str">
        <f t="shared" si="105"/>
        <v/>
      </c>
      <c r="M108" s="9">
        <f t="shared" ref="M108:M136" si="118">M107+1</f>
        <v>45841</v>
      </c>
      <c r="N108" s="8" t="str">
        <f t="shared" si="106"/>
        <v>木</v>
      </c>
      <c r="O108" s="62" t="str">
        <f>IF(AND(M108&gt;=VLOOKUP(M108,データ!$E$3:$G$9,1,TRUE),M108&lt;=VLOOKUP(M108,データ!$E$3:$G$9,2,TRUE)),VLOOKUP(M108,データ!$E$3:$G$9,3,TRUE),"")</f>
        <v>夏　特別展</v>
      </c>
      <c r="P108" s="67" t="str">
        <f>IF(AND(M108&gt;=VLOOKUP(M108,データ!$E$14:$G$21,1,TRUE),M108&lt;=VLOOKUP(M108,データ!$E$14:$G$21,2,TRUE)),VLOOKUP(M108,データ!$E$14:$G$21,3,TRUE),"")</f>
        <v>テーマ展</v>
      </c>
      <c r="Q108" s="44" t="str">
        <f t="shared" si="107"/>
        <v>○</v>
      </c>
      <c r="R108" s="45"/>
      <c r="S108" s="33" t="str">
        <f t="shared" si="108"/>
        <v/>
      </c>
      <c r="T108" s="45"/>
      <c r="U108" s="33" t="str">
        <f t="shared" si="109"/>
        <v>●</v>
      </c>
      <c r="V108" s="32"/>
      <c r="W108" s="33" t="str">
        <f t="shared" si="110"/>
        <v>○</v>
      </c>
      <c r="X108" s="8"/>
      <c r="Y108" s="33" t="str">
        <f t="shared" si="111"/>
        <v>○</v>
      </c>
      <c r="Z108" s="8">
        <f>IF(L108="閉","",(IF(AND(M108&gt;=VLOOKUP(M108,データ!$E$3:$G$9,1,TRUE),M108&lt;=VLOOKUP(M108,データ!$E$3:$G$9,2,TRUE)),VLOOKUP(M108,データ!$E$3:$H$9,4,TRUE),0)+IF(AND(M108&gt;=VLOOKUP(M108,データ!$E$14:$G$21,1,TRUE),M108&lt;=VLOOKUP(M108,データ!$E$14:$G$21,2,TRUE)),VLOOKUP(M108,データ!$E$14:$H$21,4,TRUE),0)))</f>
        <v>5</v>
      </c>
      <c r="AA108" s="33" t="str">
        <f t="shared" si="112"/>
        <v>○</v>
      </c>
      <c r="AB108" s="227">
        <f t="shared" si="113"/>
        <v>0.41666666666666669</v>
      </c>
      <c r="AC108" s="227">
        <f t="shared" si="114"/>
        <v>0.70833333333333337</v>
      </c>
      <c r="AD108" s="228" t="str">
        <f>IF(K108=1,IF(ISERROR(VLOOKUP(M108,データ!$A$3:$C$23,2,FALSE)),"",VLOOKUP(M108,データ!$A$3:$C$23,2,FALSE)),(IF(ISERROR(VLOOKUP(M108,データ!$A$3:$C$23,2,FALSE)),"",VLOOKUP(M108,データ!$A$3:$C$23,2,FALSE))))</f>
        <v/>
      </c>
    </row>
    <row r="109" spans="1:30">
      <c r="A109" s="1">
        <f>IF(AND(M109&gt;=VLOOKUP(M109,データ!$K$3:$O$6,1,TRUE),M109&lt;=VLOOKUP(M109,データ!$K$3:$O$6,2,TRUE)),VLOOKUP(M109,データ!$K$3:$O$6,5,TRUE),"")</f>
        <v>1</v>
      </c>
      <c r="B109" s="74">
        <f>IF(AND(M109&gt;=VLOOKUP(M109,データ!$K$3:$O$6,1,TRUE),M109&lt;=VLOOKUP(M109,データ!$K$3:$O$6,2,TRUE)),VLOOKUP(M109,データ!$K$3:$O$6,3,TRUE),"")</f>
        <v>0.41666666666666669</v>
      </c>
      <c r="C109" s="1">
        <f>IF(AND(M109&gt;=VLOOKUP(M109,データ!$K$11:$O$16,1,TRUE),M109&lt;=VLOOKUP(M109,データ!$K$11:$O$16,2,TRUE)),VLOOKUP(M109,データ!$K$11:$O$16,5,TRUE),0)</f>
        <v>0</v>
      </c>
      <c r="D109" s="74" t="str">
        <f>IF(AND(M109&gt;=VLOOKUP(M109,データ!$K$11:$O$16,1,TRUE),M109&lt;=VLOOKUP(M109,データ!$K$11:$O$16,2,TRUE)),VLOOKUP(M109,データ!$K$11:$O$16,3,TRUE),"")</f>
        <v/>
      </c>
      <c r="E109" s="74">
        <f t="shared" si="115"/>
        <v>0.41666666666666669</v>
      </c>
      <c r="F109" s="75">
        <f>VLOOKUP(E109,データ!$K$20:$O$24,5,FALSE)</f>
        <v>0</v>
      </c>
      <c r="G109" s="74">
        <f>IF(AND(M109&gt;=VLOOKUP(M109,データ!$K$3:$O$6,1,TRUE),M109&lt;=VLOOKUP(M109,データ!$K$3:$O$6,2,TRUE)),VLOOKUP(M109,データ!$K$3:$O$6,4,TRUE),"")</f>
        <v>0.70833333333333337</v>
      </c>
      <c r="H109" s="256">
        <f>INDEX(データ!L$21:N$24,MATCH(配置表!E109,データ!K$21:K$24,0),MATCH(配置表!G109,データ!L$20:N$20,0))</f>
        <v>1</v>
      </c>
      <c r="I109" s="52" t="str">
        <f>IF(ISERROR(VLOOKUP(M109,データ!$A$3:$C$20,3,FALSE)),"",VLOOKUP(M109,データ!$A$3:$C$20,3,FALSE))</f>
        <v/>
      </c>
      <c r="J109" s="52" t="str">
        <f t="shared" si="116"/>
        <v/>
      </c>
      <c r="K109" s="53">
        <f t="shared" si="117"/>
        <v>0</v>
      </c>
      <c r="L109" s="28" t="str">
        <f t="shared" si="105"/>
        <v/>
      </c>
      <c r="M109" s="9">
        <f t="shared" si="118"/>
        <v>45842</v>
      </c>
      <c r="N109" s="8" t="str">
        <f t="shared" si="106"/>
        <v>金</v>
      </c>
      <c r="O109" s="62" t="str">
        <f>IF(AND(M109&gt;=VLOOKUP(M109,データ!$E$3:$G$9,1,TRUE),M109&lt;=VLOOKUP(M109,データ!$E$3:$G$9,2,TRUE)),VLOOKUP(M109,データ!$E$3:$G$9,3,TRUE),"")</f>
        <v>夏　特別展</v>
      </c>
      <c r="P109" s="67" t="str">
        <f>IF(AND(M109&gt;=VLOOKUP(M109,データ!$E$14:$G$21,1,TRUE),M109&lt;=VLOOKUP(M109,データ!$E$14:$G$21,2,TRUE)),VLOOKUP(M109,データ!$E$14:$G$21,3,TRUE),"")</f>
        <v>テーマ展</v>
      </c>
      <c r="Q109" s="44" t="str">
        <f t="shared" si="107"/>
        <v>○</v>
      </c>
      <c r="R109" s="45"/>
      <c r="S109" s="33" t="str">
        <f t="shared" si="108"/>
        <v/>
      </c>
      <c r="T109" s="45"/>
      <c r="U109" s="33" t="str">
        <f t="shared" si="109"/>
        <v>●</v>
      </c>
      <c r="V109" s="32"/>
      <c r="W109" s="33" t="str">
        <f t="shared" si="110"/>
        <v>○</v>
      </c>
      <c r="X109" s="8"/>
      <c r="Y109" s="33" t="str">
        <f t="shared" si="111"/>
        <v>○</v>
      </c>
      <c r="Z109" s="8">
        <f>IF(L109="閉","",(IF(AND(M109&gt;=VLOOKUP(M109,データ!$E$3:$G$9,1,TRUE),M109&lt;=VLOOKUP(M109,データ!$E$3:$G$9,2,TRUE)),VLOOKUP(M109,データ!$E$3:$H$9,4,TRUE),0)+IF(AND(M109&gt;=VLOOKUP(M109,データ!$E$14:$G$21,1,TRUE),M109&lt;=VLOOKUP(M109,データ!$E$14:$G$21,2,TRUE)),VLOOKUP(M109,データ!$E$14:$H$21,4,TRUE),0)))</f>
        <v>5</v>
      </c>
      <c r="AA109" s="33" t="str">
        <f t="shared" si="112"/>
        <v>○</v>
      </c>
      <c r="AB109" s="227">
        <f t="shared" si="113"/>
        <v>0.41666666666666669</v>
      </c>
      <c r="AC109" s="227">
        <f t="shared" si="114"/>
        <v>0.70833333333333337</v>
      </c>
      <c r="AD109" s="228" t="str">
        <f>IF(K109=1,IF(ISERROR(VLOOKUP(M109,データ!$A$3:$C$23,2,FALSE)),"",VLOOKUP(M109,データ!$A$3:$C$23,2,FALSE)),(IF(ISERROR(VLOOKUP(M109,データ!$A$3:$C$23,2,FALSE)),"",VLOOKUP(M109,データ!$A$3:$C$23,2,FALSE))))</f>
        <v/>
      </c>
    </row>
    <row r="110" spans="1:30">
      <c r="A110" s="1">
        <f>IF(AND(M110&gt;=VLOOKUP(M110,データ!$K$3:$O$6,1,TRUE),M110&lt;=VLOOKUP(M110,データ!$K$3:$O$6,2,TRUE)),VLOOKUP(M110,データ!$K$3:$O$6,5,TRUE),"")</f>
        <v>1</v>
      </c>
      <c r="B110" s="74">
        <f>IF(AND(M110&gt;=VLOOKUP(M110,データ!$K$3:$O$6,1,TRUE),M110&lt;=VLOOKUP(M110,データ!$K$3:$O$6,2,TRUE)),VLOOKUP(M110,データ!$K$3:$O$6,3,TRUE),"")</f>
        <v>0.41666666666666669</v>
      </c>
      <c r="C110" s="1">
        <f>IF(AND(M110&gt;=VLOOKUP(M110,データ!$K$11:$O$16,1,TRUE),M110&lt;=VLOOKUP(M110,データ!$K$11:$O$16,2,TRUE)),VLOOKUP(M110,データ!$K$11:$O$16,5,TRUE),0)</f>
        <v>0</v>
      </c>
      <c r="D110" s="74" t="str">
        <f>IF(AND(M110&gt;=VLOOKUP(M110,データ!$K$11:$O$16,1,TRUE),M110&lt;=VLOOKUP(M110,データ!$K$11:$O$16,2,TRUE)),VLOOKUP(M110,データ!$K$11:$O$16,3,TRUE),"")</f>
        <v/>
      </c>
      <c r="E110" s="74">
        <f t="shared" si="115"/>
        <v>0.41666666666666669</v>
      </c>
      <c r="F110" s="75">
        <f>VLOOKUP(E110,データ!$K$20:$O$24,5,FALSE)</f>
        <v>0</v>
      </c>
      <c r="G110" s="74">
        <f>IF(AND(M110&gt;=VLOOKUP(M110,データ!$K$3:$O$6,1,TRUE),M110&lt;=VLOOKUP(M110,データ!$K$3:$O$6,2,TRUE)),VLOOKUP(M110,データ!$K$3:$O$6,4,TRUE),"")</f>
        <v>0.70833333333333337</v>
      </c>
      <c r="H110" s="256">
        <f>INDEX(データ!L$21:N$24,MATCH(配置表!E110,データ!K$21:K$24,0),MATCH(配置表!G110,データ!L$20:N$20,0))</f>
        <v>1</v>
      </c>
      <c r="I110" s="52" t="str">
        <f>IF(ISERROR(VLOOKUP(M110,データ!$A$3:$C$20,3,FALSE)),"",VLOOKUP(M110,データ!$A$3:$C$20,3,FALSE))</f>
        <v/>
      </c>
      <c r="J110" s="52" t="str">
        <f t="shared" si="116"/>
        <v/>
      </c>
      <c r="K110" s="53">
        <f t="shared" si="117"/>
        <v>0</v>
      </c>
      <c r="L110" s="28" t="str">
        <f t="shared" si="105"/>
        <v/>
      </c>
      <c r="M110" s="9">
        <f t="shared" si="118"/>
        <v>45843</v>
      </c>
      <c r="N110" s="8" t="str">
        <f t="shared" si="106"/>
        <v>土</v>
      </c>
      <c r="O110" s="62" t="str">
        <f>IF(AND(M110&gt;=VLOOKUP(M110,データ!$E$3:$G$9,1,TRUE),M110&lt;=VLOOKUP(M110,データ!$E$3:$G$9,2,TRUE)),VLOOKUP(M110,データ!$E$3:$G$9,3,TRUE),"")</f>
        <v>夏　特別展</v>
      </c>
      <c r="P110" s="67" t="str">
        <f>IF(AND(M110&gt;=VLOOKUP(M110,データ!$E$14:$G$21,1,TRUE),M110&lt;=VLOOKUP(M110,データ!$E$14:$G$21,2,TRUE)),VLOOKUP(M110,データ!$E$14:$G$21,3,TRUE),"")</f>
        <v>テーマ展</v>
      </c>
      <c r="Q110" s="44" t="str">
        <f t="shared" si="107"/>
        <v>○</v>
      </c>
      <c r="R110" s="45"/>
      <c r="S110" s="10" t="str">
        <f t="shared" ref="S110:S111" si="119">IF(L110="閉","休",IF(O110="","",IF(O110="冬　特別展",IF(OR(N110="土",N110="日",I110=1),"○",""),"○")))</f>
        <v>○</v>
      </c>
      <c r="T110" s="45"/>
      <c r="U110" s="33" t="str">
        <f t="shared" si="109"/>
        <v>●</v>
      </c>
      <c r="V110" s="32"/>
      <c r="W110" s="33" t="str">
        <f t="shared" ref="W110:W111" si="120">IF(L110="閉","休",IF(O110="","",IF(OR(N110="土",N110="日",I110=1),IF(OR(O110="ダミー　特別展",O110="ダミー　特別展"),"◎",IF(OR(O110="夏　特別展",O110="秋　特別展",O110="春　特別展"),"◎","")),"")))</f>
        <v>◎</v>
      </c>
      <c r="X110" s="8"/>
      <c r="Y110" s="33" t="str">
        <f t="shared" si="111"/>
        <v>○</v>
      </c>
      <c r="Z110" s="8">
        <f>IF(L110="閉","",(IF(AND(M110&gt;=VLOOKUP(M110,データ!$E$3:$G$9,1,TRUE),M110&lt;=VLOOKUP(M110,データ!$E$3:$G$9,2,TRUE)),VLOOKUP(M110,データ!$E$3:$H$9,4,TRUE),0)+IF(AND(M110&gt;=VLOOKUP(M110,データ!$E$14:$G$21,1,TRUE),M110&lt;=VLOOKUP(M110,データ!$E$14:$G$21,2,TRUE)),VLOOKUP(M110,データ!$E$14:$H$21,4,TRUE),0)))</f>
        <v>5</v>
      </c>
      <c r="AA110" s="33" t="str">
        <f t="shared" si="112"/>
        <v>○</v>
      </c>
      <c r="AB110" s="227">
        <f t="shared" si="113"/>
        <v>0.41666666666666669</v>
      </c>
      <c r="AC110" s="227">
        <f t="shared" si="114"/>
        <v>0.70833333333333337</v>
      </c>
      <c r="AD110" s="228" t="str">
        <f>IF(K110=1,IF(ISERROR(VLOOKUP(M110,データ!$A$3:$C$23,2,FALSE)),"",VLOOKUP(M110,データ!$A$3:$C$23,2,FALSE)),(IF(ISERROR(VLOOKUP(M110,データ!$A$3:$C$23,2,FALSE)),"",VLOOKUP(M110,データ!$A$3:$C$23,2,FALSE))))</f>
        <v/>
      </c>
    </row>
    <row r="111" spans="1:30">
      <c r="A111" s="1">
        <f>IF(AND(M111&gt;=VLOOKUP(M111,データ!$K$3:$O$6,1,TRUE),M111&lt;=VLOOKUP(M111,データ!$K$3:$O$6,2,TRUE)),VLOOKUP(M111,データ!$K$3:$O$6,5,TRUE),"")</f>
        <v>1</v>
      </c>
      <c r="B111" s="74">
        <f>IF(AND(M111&gt;=VLOOKUP(M111,データ!$K$3:$O$6,1,TRUE),M111&lt;=VLOOKUP(M111,データ!$K$3:$O$6,2,TRUE)),VLOOKUP(M111,データ!$K$3:$O$6,3,TRUE),"")</f>
        <v>0.41666666666666669</v>
      </c>
      <c r="C111" s="1">
        <f>IF(AND(M111&gt;=VLOOKUP(M111,データ!$K$11:$O$16,1,TRUE),M111&lt;=VLOOKUP(M111,データ!$K$11:$O$16,2,TRUE)),VLOOKUP(M111,データ!$K$11:$O$16,5,TRUE),0)</f>
        <v>0</v>
      </c>
      <c r="D111" s="74" t="str">
        <f>IF(AND(M111&gt;=VLOOKUP(M111,データ!$K$11:$O$16,1,TRUE),M111&lt;=VLOOKUP(M111,データ!$K$11:$O$16,2,TRUE)),VLOOKUP(M111,データ!$K$11:$O$16,3,TRUE),"")</f>
        <v/>
      </c>
      <c r="E111" s="74">
        <f t="shared" si="115"/>
        <v>0.41666666666666669</v>
      </c>
      <c r="F111" s="75">
        <f>VLOOKUP(E111,データ!$K$20:$O$24,5,FALSE)</f>
        <v>0</v>
      </c>
      <c r="G111" s="74">
        <f>IF(AND(M111&gt;=VLOOKUP(M111,データ!$K$3:$O$6,1,TRUE),M111&lt;=VLOOKUP(M111,データ!$K$3:$O$6,2,TRUE)),VLOOKUP(M111,データ!$K$3:$O$6,4,TRUE),"")</f>
        <v>0.70833333333333337</v>
      </c>
      <c r="H111" s="256">
        <f>INDEX(データ!L$21:N$24,MATCH(配置表!E111,データ!K$21:K$24,0),MATCH(配置表!G111,データ!L$20:N$20,0))</f>
        <v>1</v>
      </c>
      <c r="I111" s="52" t="str">
        <f>IF(ISERROR(VLOOKUP(M111,データ!$A$3:$C$20,3,FALSE)),"",VLOOKUP(M111,データ!$A$3:$C$20,3,FALSE))</f>
        <v/>
      </c>
      <c r="J111" s="52" t="str">
        <f t="shared" si="116"/>
        <v/>
      </c>
      <c r="K111" s="53">
        <f t="shared" si="117"/>
        <v>0</v>
      </c>
      <c r="L111" s="28" t="str">
        <f t="shared" si="105"/>
        <v/>
      </c>
      <c r="M111" s="9">
        <f t="shared" si="118"/>
        <v>45844</v>
      </c>
      <c r="N111" s="8" t="str">
        <f t="shared" si="106"/>
        <v>日</v>
      </c>
      <c r="O111" s="62" t="str">
        <f>IF(AND(M111&gt;=VLOOKUP(M111,データ!$E$3:$G$9,1,TRUE),M111&lt;=VLOOKUP(M111,データ!$E$3:$G$9,2,TRUE)),VLOOKUP(M111,データ!$E$3:$G$9,3,TRUE),"")</f>
        <v>夏　特別展</v>
      </c>
      <c r="P111" s="67" t="str">
        <f>IF(AND(M111&gt;=VLOOKUP(M111,データ!$E$14:$G$21,1,TRUE),M111&lt;=VLOOKUP(M111,データ!$E$14:$G$21,2,TRUE)),VLOOKUP(M111,データ!$E$14:$G$21,3,TRUE),"")</f>
        <v>テーマ展</v>
      </c>
      <c r="Q111" s="44" t="str">
        <f t="shared" si="107"/>
        <v>○</v>
      </c>
      <c r="R111" s="45"/>
      <c r="S111" s="10" t="str">
        <f t="shared" si="119"/>
        <v>○</v>
      </c>
      <c r="T111" s="45"/>
      <c r="U111" s="33" t="str">
        <f t="shared" si="109"/>
        <v>●</v>
      </c>
      <c r="V111" s="32"/>
      <c r="W111" s="33" t="str">
        <f t="shared" si="120"/>
        <v>◎</v>
      </c>
      <c r="X111" s="8"/>
      <c r="Y111" s="10" t="str">
        <f t="shared" si="111"/>
        <v>○</v>
      </c>
      <c r="Z111" s="32">
        <f>IF(L111="閉","",(IF(AND(M111&gt;=VLOOKUP(M111,データ!$E$3:$G$9,1,TRUE),M111&lt;=VLOOKUP(M111,データ!$E$3:$G$9,2,TRUE)),VLOOKUP(M111,データ!$E$3:$H$9,4,TRUE),0)+IF(AND(M111&gt;=VLOOKUP(M111,データ!$E$14:$G$21,1,TRUE),M111&lt;=VLOOKUP(M111,データ!$E$14:$G$21,2,TRUE)),VLOOKUP(M111,データ!$E$14:$H$21,4,TRUE),0)))</f>
        <v>5</v>
      </c>
      <c r="AA111" s="33" t="str">
        <f t="shared" si="112"/>
        <v>○</v>
      </c>
      <c r="AB111" s="227">
        <f t="shared" si="113"/>
        <v>0.41666666666666669</v>
      </c>
      <c r="AC111" s="227">
        <f t="shared" si="114"/>
        <v>0.70833333333333337</v>
      </c>
      <c r="AD111" s="228" t="str">
        <f>IF(K111=1,IF(ISERROR(VLOOKUP(M111,データ!$A$3:$C$23,2,FALSE)),"",VLOOKUP(M111,データ!$A$3:$C$23,2,FALSE)),(IF(ISERROR(VLOOKUP(M111,データ!$A$3:$C$23,2,FALSE)),"",VLOOKUP(M111,データ!$A$3:$C$23,2,FALSE))))</f>
        <v/>
      </c>
    </row>
    <row r="112" spans="1:30">
      <c r="A112" s="1">
        <f>IF(AND(M112&gt;=VLOOKUP(M112,データ!$K$3:$O$6,1,TRUE),M112&lt;=VLOOKUP(M112,データ!$K$3:$O$6,2,TRUE)),VLOOKUP(M112,データ!$K$3:$O$6,5,TRUE),"")</f>
        <v>1</v>
      </c>
      <c r="B112" s="74">
        <f>IF(AND(M112&gt;=VLOOKUP(M112,データ!$K$3:$O$6,1,TRUE),M112&lt;=VLOOKUP(M112,データ!$K$3:$O$6,2,TRUE)),VLOOKUP(M112,データ!$K$3:$O$6,3,TRUE),"")</f>
        <v>0.41666666666666669</v>
      </c>
      <c r="C112" s="1">
        <f>IF(AND(M112&gt;=VLOOKUP(M112,データ!$K$11:$O$16,1,TRUE),M112&lt;=VLOOKUP(M112,データ!$K$11:$O$16,2,TRUE)),VLOOKUP(M112,データ!$K$11:$O$16,5,TRUE),0)</f>
        <v>0</v>
      </c>
      <c r="D112" s="74" t="str">
        <f>IF(AND(M112&gt;=VLOOKUP(M112,データ!$K$11:$O$16,1,TRUE),M112&lt;=VLOOKUP(M112,データ!$K$11:$O$16,2,TRUE)),VLOOKUP(M112,データ!$K$11:$O$16,3,TRUE),"")</f>
        <v/>
      </c>
      <c r="E112" s="74">
        <f t="shared" si="115"/>
        <v>0.41666666666666669</v>
      </c>
      <c r="F112" s="75">
        <f>VLOOKUP(E112,データ!$K$20:$O$24,5,FALSE)</f>
        <v>0</v>
      </c>
      <c r="G112" s="74">
        <f>IF(AND(M112&gt;=VLOOKUP(M112,データ!$K$3:$O$6,1,TRUE),M112&lt;=VLOOKUP(M112,データ!$K$3:$O$6,2,TRUE)),VLOOKUP(M112,データ!$K$3:$O$6,4,TRUE),"")</f>
        <v>0.70833333333333337</v>
      </c>
      <c r="H112" s="256">
        <f>INDEX(データ!L$21:N$24,MATCH(配置表!E112,データ!K$21:K$24,0),MATCH(配置表!G112,データ!L$20:N$20,0))</f>
        <v>1</v>
      </c>
      <c r="I112" s="52" t="str">
        <f>IF(ISERROR(VLOOKUP(M112,データ!$A$3:$C$20,3,FALSE)),"",VLOOKUP(M112,データ!$A$3:$C$20,3,FALSE))</f>
        <v/>
      </c>
      <c r="J112" s="52">
        <f t="shared" si="116"/>
        <v>1</v>
      </c>
      <c r="K112" s="53">
        <f t="shared" si="117"/>
        <v>1</v>
      </c>
      <c r="L112" s="28" t="str">
        <f t="shared" si="105"/>
        <v>閉</v>
      </c>
      <c r="M112" s="9">
        <f t="shared" si="118"/>
        <v>45845</v>
      </c>
      <c r="N112" s="8" t="str">
        <f t="shared" si="106"/>
        <v>月</v>
      </c>
      <c r="O112" s="62" t="str">
        <f>IF(AND(M112&gt;=VLOOKUP(M112,データ!$E$3:$G$9,1,TRUE),M112&lt;=VLOOKUP(M112,データ!$E$3:$G$9,2,TRUE)),VLOOKUP(M112,データ!$E$3:$G$9,3,TRUE),"")</f>
        <v>夏　特別展</v>
      </c>
      <c r="P112" s="67" t="str">
        <f>IF(AND(M112&gt;=VLOOKUP(M112,データ!$E$14:$G$21,1,TRUE),M112&lt;=VLOOKUP(M112,データ!$E$14:$G$21,2,TRUE)),VLOOKUP(M112,データ!$E$14:$G$21,3,TRUE),"")</f>
        <v>テーマ展</v>
      </c>
      <c r="Q112" s="44" t="str">
        <f t="shared" si="107"/>
        <v>休</v>
      </c>
      <c r="R112" s="8"/>
      <c r="S112" s="33" t="str">
        <f t="shared" ref="S112:S133" si="121">IF(L112="閉","休",IF(O112="","",IF(O112="冬　特別展",IF(OR(N112="土",N112="日",I112=1),"○",""),"○")))</f>
        <v>休</v>
      </c>
      <c r="T112" s="8"/>
      <c r="U112" s="33" t="str">
        <f t="shared" ref="U112:U133" si="122">IF(L112="閉","休",IF(S112="","●","●"))</f>
        <v>休</v>
      </c>
      <c r="V112" s="8"/>
      <c r="W112" s="33" t="str">
        <f t="shared" ref="W112:W133" si="123">IF(L112="閉","休",IF(O112="","",IF(OR(N112="土",N112="日",I112=1),IF(OR(O112="ダミー　特別展",O112="ダミー　特別展"),"◎",IF(OR(O112="夏　特別展",O112="秋　特別展",O112="春　特別展"),"○","")),"")))</f>
        <v>休</v>
      </c>
      <c r="X112" s="8"/>
      <c r="Y112" s="33" t="str">
        <f t="shared" si="111"/>
        <v>休</v>
      </c>
      <c r="Z112" s="8" t="str">
        <f>IF(L112="閉","",(IF(AND(M112&gt;=VLOOKUP(M112,データ!$E$3:$G$9,1,TRUE),M112&lt;=VLOOKUP(M112,データ!$E$3:$G$9,2,TRUE)),VLOOKUP(M112,データ!$E$3:$H$9,4,TRUE),0)+IF(AND(M112&gt;=VLOOKUP(M112,データ!$E$14:$G$21,1,TRUE),M112&lt;=VLOOKUP(M112,データ!$E$14:$G$21,2,TRUE)),VLOOKUP(M112,データ!$E$14:$H$21,4,TRUE),0)))</f>
        <v/>
      </c>
      <c r="AA112" s="33" t="str">
        <f t="shared" si="112"/>
        <v>休</v>
      </c>
      <c r="AB112" s="227" t="str">
        <f t="shared" si="113"/>
        <v/>
      </c>
      <c r="AC112" s="227" t="str">
        <f t="shared" si="114"/>
        <v/>
      </c>
      <c r="AD112" s="228" t="str">
        <f>IF(K112=1,IF(ISERROR(VLOOKUP(M112,データ!$A$3:$C$23,2,FALSE)),"",VLOOKUP(M112,データ!$A$3:$C$23,2,FALSE)),(IF(ISERROR(VLOOKUP(M112,データ!$A$3:$C$23,2,FALSE)),"",VLOOKUP(M112,データ!$A$3:$C$23,2,FALSE))))</f>
        <v/>
      </c>
    </row>
    <row r="113" spans="1:30">
      <c r="A113" s="1">
        <f>IF(AND(M113&gt;=VLOOKUP(M113,データ!$K$3:$O$6,1,TRUE),M113&lt;=VLOOKUP(M113,データ!$K$3:$O$6,2,TRUE)),VLOOKUP(M113,データ!$K$3:$O$6,5,TRUE),"")</f>
        <v>1</v>
      </c>
      <c r="B113" s="74">
        <f>IF(AND(M113&gt;=VLOOKUP(M113,データ!$K$3:$O$6,1,TRUE),M113&lt;=VLOOKUP(M113,データ!$K$3:$O$6,2,TRUE)),VLOOKUP(M113,データ!$K$3:$O$6,3,TRUE),"")</f>
        <v>0.41666666666666669</v>
      </c>
      <c r="C113" s="1">
        <f>IF(AND(M113&gt;=VLOOKUP(M113,データ!$K$11:$O$16,1,TRUE),M113&lt;=VLOOKUP(M113,データ!$K$11:$O$16,2,TRUE)),VLOOKUP(M113,データ!$K$11:$O$16,5,TRUE),0)</f>
        <v>0</v>
      </c>
      <c r="D113" s="74" t="str">
        <f>IF(AND(M113&gt;=VLOOKUP(M113,データ!$K$11:$O$16,1,TRUE),M113&lt;=VLOOKUP(M113,データ!$K$11:$O$16,2,TRUE)),VLOOKUP(M113,データ!$K$11:$O$16,3,TRUE),"")</f>
        <v/>
      </c>
      <c r="E113" s="74">
        <f t="shared" si="115"/>
        <v>0.41666666666666669</v>
      </c>
      <c r="F113" s="75">
        <f>VLOOKUP(E113,データ!$K$20:$O$24,5,FALSE)</f>
        <v>0</v>
      </c>
      <c r="G113" s="74">
        <f>IF(AND(M113&gt;=VLOOKUP(M113,データ!$K$3:$O$6,1,TRUE),M113&lt;=VLOOKUP(M113,データ!$K$3:$O$6,2,TRUE)),VLOOKUP(M113,データ!$K$3:$O$6,4,TRUE),"")</f>
        <v>0.70833333333333337</v>
      </c>
      <c r="H113" s="256">
        <f>INDEX(データ!L$21:N$24,MATCH(配置表!E113,データ!K$21:K$24,0),MATCH(配置表!G113,データ!L$20:N$20,0))</f>
        <v>1</v>
      </c>
      <c r="I113" s="52" t="str">
        <f>IF(ISERROR(VLOOKUP(M113,データ!$A$3:$C$20,3,FALSE)),"",VLOOKUP(M113,データ!$A$3:$C$20,3,FALSE))</f>
        <v/>
      </c>
      <c r="J113" s="52" t="str">
        <f t="shared" si="116"/>
        <v/>
      </c>
      <c r="K113" s="53">
        <f t="shared" si="117"/>
        <v>0</v>
      </c>
      <c r="L113" s="28" t="str">
        <f t="shared" si="105"/>
        <v/>
      </c>
      <c r="M113" s="9">
        <f t="shared" si="118"/>
        <v>45846</v>
      </c>
      <c r="N113" s="8" t="str">
        <f t="shared" si="106"/>
        <v>火</v>
      </c>
      <c r="O113" s="62" t="str">
        <f>IF(AND(M113&gt;=VLOOKUP(M113,データ!$E$3:$G$9,1,TRUE),M113&lt;=VLOOKUP(M113,データ!$E$3:$G$9,2,TRUE)),VLOOKUP(M113,データ!$E$3:$G$9,3,TRUE),"")</f>
        <v>夏　特別展</v>
      </c>
      <c r="P113" s="67" t="str">
        <f>IF(AND(M113&gt;=VLOOKUP(M113,データ!$E$14:$G$21,1,TRUE),M113&lt;=VLOOKUP(M113,データ!$E$14:$G$21,2,TRUE)),VLOOKUP(M113,データ!$E$14:$G$21,3,TRUE),"")</f>
        <v>テーマ展</v>
      </c>
      <c r="Q113" s="44" t="str">
        <f t="shared" si="107"/>
        <v>○</v>
      </c>
      <c r="R113" s="45"/>
      <c r="S113" s="33" t="str">
        <f t="shared" ref="S113:S116" si="124">IF(H113="閉","休",IF(K113="","",IF(OR(J113="土",J113="日",E113=1),IF(OR(K113="ダミー　特別展",K113="ダミー　特別展"),"◎",IF(OR(K113="夏　特別展",K113="秋　特別展",K113="春　特別展"),"○","")),"")))</f>
        <v/>
      </c>
      <c r="T113" s="45"/>
      <c r="U113" s="33" t="str">
        <f t="shared" si="122"/>
        <v>●</v>
      </c>
      <c r="V113" s="32"/>
      <c r="W113" s="33" t="str">
        <f t="shared" ref="W113:W116" si="125">IF(P113="閉","休",IF(O113="","",IF(O113="冬　特別展",IF(OR(N113="土",N113="日",M113=1),"○",""),"○")))</f>
        <v>○</v>
      </c>
      <c r="X113" s="8"/>
      <c r="Y113" s="33" t="str">
        <f t="shared" si="111"/>
        <v>○</v>
      </c>
      <c r="Z113" s="8">
        <f>IF(L113="閉","",(IF(AND(M113&gt;=VLOOKUP(M113,データ!$E$3:$G$9,1,TRUE),M113&lt;=VLOOKUP(M113,データ!$E$3:$G$9,2,TRUE)),VLOOKUP(M113,データ!$E$3:$H$9,4,TRUE),0)+IF(AND(M113&gt;=VLOOKUP(M113,データ!$E$14:$G$21,1,TRUE),M113&lt;=VLOOKUP(M113,データ!$E$14:$G$21,2,TRUE)),VLOOKUP(M113,データ!$E$14:$H$21,4,TRUE),0)))</f>
        <v>5</v>
      </c>
      <c r="AA113" s="33" t="str">
        <f t="shared" si="112"/>
        <v>○</v>
      </c>
      <c r="AB113" s="227">
        <f t="shared" si="113"/>
        <v>0.41666666666666669</v>
      </c>
      <c r="AC113" s="227">
        <f t="shared" si="114"/>
        <v>0.70833333333333337</v>
      </c>
      <c r="AD113" s="228" t="str">
        <f>IF(K113=1,IF(ISERROR(VLOOKUP(M113,データ!$A$3:$C$23,2,FALSE)),"",VLOOKUP(M113,データ!$A$3:$C$23,2,FALSE)),(IF(ISERROR(VLOOKUP(M113,データ!$A$3:$C$23,2,FALSE)),"",VLOOKUP(M113,データ!$A$3:$C$23,2,FALSE))))</f>
        <v/>
      </c>
    </row>
    <row r="114" spans="1:30">
      <c r="A114" s="1">
        <f>IF(AND(M114&gt;=VLOOKUP(M114,データ!$K$3:$O$6,1,TRUE),M114&lt;=VLOOKUP(M114,データ!$K$3:$O$6,2,TRUE)),VLOOKUP(M114,データ!$K$3:$O$6,5,TRUE),"")</f>
        <v>1</v>
      </c>
      <c r="B114" s="74">
        <f>IF(AND(M114&gt;=VLOOKUP(M114,データ!$K$3:$O$6,1,TRUE),M114&lt;=VLOOKUP(M114,データ!$K$3:$O$6,2,TRUE)),VLOOKUP(M114,データ!$K$3:$O$6,3,TRUE),"")</f>
        <v>0.41666666666666669</v>
      </c>
      <c r="C114" s="1">
        <f>IF(AND(M114&gt;=VLOOKUP(M114,データ!$K$11:$O$16,1,TRUE),M114&lt;=VLOOKUP(M114,データ!$K$11:$O$16,2,TRUE)),VLOOKUP(M114,データ!$K$11:$O$16,5,TRUE),0)</f>
        <v>0</v>
      </c>
      <c r="D114" s="74" t="str">
        <f>IF(AND(M114&gt;=VLOOKUP(M114,データ!$K$11:$O$16,1,TRUE),M114&lt;=VLOOKUP(M114,データ!$K$11:$O$16,2,TRUE)),VLOOKUP(M114,データ!$K$11:$O$16,3,TRUE),"")</f>
        <v/>
      </c>
      <c r="E114" s="74">
        <f t="shared" si="115"/>
        <v>0.41666666666666669</v>
      </c>
      <c r="F114" s="75">
        <f>VLOOKUP(E114,データ!$K$20:$O$24,5,FALSE)</f>
        <v>0</v>
      </c>
      <c r="G114" s="74">
        <f>IF(AND(M114&gt;=VLOOKUP(M114,データ!$K$3:$O$6,1,TRUE),M114&lt;=VLOOKUP(M114,データ!$K$3:$O$6,2,TRUE)),VLOOKUP(M114,データ!$K$3:$O$6,4,TRUE),"")</f>
        <v>0.70833333333333337</v>
      </c>
      <c r="H114" s="256">
        <f>INDEX(データ!L$21:N$24,MATCH(配置表!E114,データ!K$21:K$24,0),MATCH(配置表!G114,データ!L$20:N$20,0))</f>
        <v>1</v>
      </c>
      <c r="I114" s="52" t="str">
        <f>IF(ISERROR(VLOOKUP(M114,データ!$A$3:$C$20,3,FALSE)),"",VLOOKUP(M114,データ!$A$3:$C$20,3,FALSE))</f>
        <v/>
      </c>
      <c r="J114" s="52" t="str">
        <f t="shared" si="116"/>
        <v/>
      </c>
      <c r="K114" s="53">
        <f t="shared" si="117"/>
        <v>0</v>
      </c>
      <c r="L114" s="28" t="str">
        <f t="shared" si="105"/>
        <v/>
      </c>
      <c r="M114" s="9">
        <f t="shared" si="118"/>
        <v>45847</v>
      </c>
      <c r="N114" s="8" t="str">
        <f t="shared" si="106"/>
        <v>水</v>
      </c>
      <c r="O114" s="62" t="str">
        <f>IF(AND(M114&gt;=VLOOKUP(M114,データ!$E$3:$G$9,1,TRUE),M114&lt;=VLOOKUP(M114,データ!$E$3:$G$9,2,TRUE)),VLOOKUP(M114,データ!$E$3:$G$9,3,TRUE),"")</f>
        <v>夏　特別展</v>
      </c>
      <c r="P114" s="67" t="str">
        <f>IF(AND(M114&gt;=VLOOKUP(M114,データ!$E$14:$G$21,1,TRUE),M114&lt;=VLOOKUP(M114,データ!$E$14:$G$21,2,TRUE)),VLOOKUP(M114,データ!$E$14:$G$21,3,TRUE),"")</f>
        <v>テーマ展</v>
      </c>
      <c r="Q114" s="44" t="str">
        <f t="shared" si="107"/>
        <v>○</v>
      </c>
      <c r="R114" s="45"/>
      <c r="S114" s="33" t="str">
        <f t="shared" si="124"/>
        <v/>
      </c>
      <c r="T114" s="45"/>
      <c r="U114" s="33" t="str">
        <f t="shared" si="122"/>
        <v>●</v>
      </c>
      <c r="V114" s="32"/>
      <c r="W114" s="33" t="str">
        <f t="shared" si="125"/>
        <v>○</v>
      </c>
      <c r="X114" s="8"/>
      <c r="Y114" s="33" t="str">
        <f t="shared" si="111"/>
        <v>○</v>
      </c>
      <c r="Z114" s="8">
        <f>IF(L114="閉","",(IF(AND(M114&gt;=VLOOKUP(M114,データ!$E$3:$G$9,1,TRUE),M114&lt;=VLOOKUP(M114,データ!$E$3:$G$9,2,TRUE)),VLOOKUP(M114,データ!$E$3:$H$9,4,TRUE),0)+IF(AND(M114&gt;=VLOOKUP(M114,データ!$E$14:$G$21,1,TRUE),M114&lt;=VLOOKUP(M114,データ!$E$14:$G$21,2,TRUE)),VLOOKUP(M114,データ!$E$14:$H$21,4,TRUE),0)))</f>
        <v>5</v>
      </c>
      <c r="AA114" s="33" t="str">
        <f t="shared" si="112"/>
        <v>○</v>
      </c>
      <c r="AB114" s="227">
        <f t="shared" si="113"/>
        <v>0.41666666666666669</v>
      </c>
      <c r="AC114" s="227">
        <f t="shared" si="114"/>
        <v>0.70833333333333337</v>
      </c>
      <c r="AD114" s="228" t="str">
        <f>IF(K114=1,IF(ISERROR(VLOOKUP(M114,データ!$A$3:$C$23,2,FALSE)),"",VLOOKUP(M114,データ!$A$3:$C$23,2,FALSE)),(IF(ISERROR(VLOOKUP(M114,データ!$A$3:$C$23,2,FALSE)),"",VLOOKUP(M114,データ!$A$3:$C$23,2,FALSE))))</f>
        <v/>
      </c>
    </row>
    <row r="115" spans="1:30">
      <c r="A115" s="1">
        <f>IF(AND(M115&gt;=VLOOKUP(M115,データ!$K$3:$O$6,1,TRUE),M115&lt;=VLOOKUP(M115,データ!$K$3:$O$6,2,TRUE)),VLOOKUP(M115,データ!$K$3:$O$6,5,TRUE),"")</f>
        <v>1</v>
      </c>
      <c r="B115" s="74">
        <f>IF(AND(M115&gt;=VLOOKUP(M115,データ!$K$3:$O$6,1,TRUE),M115&lt;=VLOOKUP(M115,データ!$K$3:$O$6,2,TRUE)),VLOOKUP(M115,データ!$K$3:$O$6,3,TRUE),"")</f>
        <v>0.41666666666666669</v>
      </c>
      <c r="C115" s="1">
        <f>IF(AND(M115&gt;=VLOOKUP(M115,データ!$K$11:$O$16,1,TRUE),M115&lt;=VLOOKUP(M115,データ!$K$11:$O$16,2,TRUE)),VLOOKUP(M115,データ!$K$11:$O$16,5,TRUE),0)</f>
        <v>0</v>
      </c>
      <c r="D115" s="74" t="str">
        <f>IF(AND(M115&gt;=VLOOKUP(M115,データ!$K$11:$O$16,1,TRUE),M115&lt;=VLOOKUP(M115,データ!$K$11:$O$16,2,TRUE)),VLOOKUP(M115,データ!$K$11:$O$16,3,TRUE),"")</f>
        <v/>
      </c>
      <c r="E115" s="74">
        <f t="shared" si="115"/>
        <v>0.41666666666666669</v>
      </c>
      <c r="F115" s="75">
        <f>VLOOKUP(E115,データ!$K$20:$O$24,5,FALSE)</f>
        <v>0</v>
      </c>
      <c r="G115" s="74">
        <f>IF(AND(M115&gt;=VLOOKUP(M115,データ!$K$3:$O$6,1,TRUE),M115&lt;=VLOOKUP(M115,データ!$K$3:$O$6,2,TRUE)),VLOOKUP(M115,データ!$K$3:$O$6,4,TRUE),"")</f>
        <v>0.70833333333333337</v>
      </c>
      <c r="H115" s="256">
        <f>INDEX(データ!L$21:N$24,MATCH(配置表!E115,データ!K$21:K$24,0),MATCH(配置表!G115,データ!L$20:N$20,0))</f>
        <v>1</v>
      </c>
      <c r="I115" s="52" t="str">
        <f>IF(ISERROR(VLOOKUP(M115,データ!$A$3:$C$20,3,FALSE)),"",VLOOKUP(M115,データ!$A$3:$C$20,3,FALSE))</f>
        <v/>
      </c>
      <c r="J115" s="52" t="str">
        <f t="shared" si="116"/>
        <v/>
      </c>
      <c r="K115" s="53">
        <f t="shared" si="117"/>
        <v>0</v>
      </c>
      <c r="L115" s="28" t="str">
        <f t="shared" si="105"/>
        <v/>
      </c>
      <c r="M115" s="9">
        <f t="shared" si="118"/>
        <v>45848</v>
      </c>
      <c r="N115" s="8" t="str">
        <f t="shared" si="106"/>
        <v>木</v>
      </c>
      <c r="O115" s="62" t="str">
        <f>IF(AND(M115&gt;=VLOOKUP(M115,データ!$E$3:$G$9,1,TRUE),M115&lt;=VLOOKUP(M115,データ!$E$3:$G$9,2,TRUE)),VLOOKUP(M115,データ!$E$3:$G$9,3,TRUE),"")</f>
        <v>夏　特別展</v>
      </c>
      <c r="P115" s="67" t="str">
        <f>IF(AND(M115&gt;=VLOOKUP(M115,データ!$E$14:$G$21,1,TRUE),M115&lt;=VLOOKUP(M115,データ!$E$14:$G$21,2,TRUE)),VLOOKUP(M115,データ!$E$14:$G$21,3,TRUE),"")</f>
        <v>テーマ展</v>
      </c>
      <c r="Q115" s="44" t="str">
        <f t="shared" si="107"/>
        <v>○</v>
      </c>
      <c r="R115" s="45"/>
      <c r="S115" s="33" t="str">
        <f t="shared" si="124"/>
        <v/>
      </c>
      <c r="T115" s="45"/>
      <c r="U115" s="33" t="str">
        <f t="shared" si="122"/>
        <v>●</v>
      </c>
      <c r="V115" s="32"/>
      <c r="W115" s="33" t="str">
        <f t="shared" si="125"/>
        <v>○</v>
      </c>
      <c r="X115" s="8"/>
      <c r="Y115" s="33" t="str">
        <f t="shared" si="111"/>
        <v>○</v>
      </c>
      <c r="Z115" s="8">
        <f>IF(L115="閉","",(IF(AND(M115&gt;=VLOOKUP(M115,データ!$E$3:$G$9,1,TRUE),M115&lt;=VLOOKUP(M115,データ!$E$3:$G$9,2,TRUE)),VLOOKUP(M115,データ!$E$3:$H$9,4,TRUE),0)+IF(AND(M115&gt;=VLOOKUP(M115,データ!$E$14:$G$21,1,TRUE),M115&lt;=VLOOKUP(M115,データ!$E$14:$G$21,2,TRUE)),VLOOKUP(M115,データ!$E$14:$H$21,4,TRUE),0)))</f>
        <v>5</v>
      </c>
      <c r="AA115" s="33" t="str">
        <f t="shared" si="112"/>
        <v>○</v>
      </c>
      <c r="AB115" s="227">
        <f t="shared" si="113"/>
        <v>0.41666666666666669</v>
      </c>
      <c r="AC115" s="227">
        <f t="shared" si="114"/>
        <v>0.70833333333333337</v>
      </c>
      <c r="AD115" s="228" t="str">
        <f>IF(K115=1,IF(ISERROR(VLOOKUP(M115,データ!$A$3:$C$23,2,FALSE)),"",VLOOKUP(M115,データ!$A$3:$C$23,2,FALSE)),(IF(ISERROR(VLOOKUP(M115,データ!$A$3:$C$23,2,FALSE)),"",VLOOKUP(M115,データ!$A$3:$C$23,2,FALSE))))</f>
        <v/>
      </c>
    </row>
    <row r="116" spans="1:30">
      <c r="A116" s="1">
        <f>IF(AND(M116&gt;=VLOOKUP(M116,データ!$K$3:$O$6,1,TRUE),M116&lt;=VLOOKUP(M116,データ!$K$3:$O$6,2,TRUE)),VLOOKUP(M116,データ!$K$3:$O$6,5,TRUE),"")</f>
        <v>1</v>
      </c>
      <c r="B116" s="74">
        <f>IF(AND(M116&gt;=VLOOKUP(M116,データ!$K$3:$O$6,1,TRUE),M116&lt;=VLOOKUP(M116,データ!$K$3:$O$6,2,TRUE)),VLOOKUP(M116,データ!$K$3:$O$6,3,TRUE),"")</f>
        <v>0.41666666666666669</v>
      </c>
      <c r="C116" s="1">
        <f>IF(AND(M116&gt;=VLOOKUP(M116,データ!$K$11:$O$16,1,TRUE),M116&lt;=VLOOKUP(M116,データ!$K$11:$O$16,2,TRUE)),VLOOKUP(M116,データ!$K$11:$O$16,5,TRUE),0)</f>
        <v>0</v>
      </c>
      <c r="D116" s="74" t="str">
        <f>IF(AND(M116&gt;=VLOOKUP(M116,データ!$K$11:$O$16,1,TRUE),M116&lt;=VLOOKUP(M116,データ!$K$11:$O$16,2,TRUE)),VLOOKUP(M116,データ!$K$11:$O$16,3,TRUE),"")</f>
        <v/>
      </c>
      <c r="E116" s="74">
        <f t="shared" si="115"/>
        <v>0.41666666666666669</v>
      </c>
      <c r="F116" s="75">
        <f>VLOOKUP(E116,データ!$K$20:$O$24,5,FALSE)</f>
        <v>0</v>
      </c>
      <c r="G116" s="74">
        <f>IF(AND(M116&gt;=VLOOKUP(M116,データ!$K$3:$O$6,1,TRUE),M116&lt;=VLOOKUP(M116,データ!$K$3:$O$6,2,TRUE)),VLOOKUP(M116,データ!$K$3:$O$6,4,TRUE),"")</f>
        <v>0.70833333333333337</v>
      </c>
      <c r="H116" s="256">
        <f>INDEX(データ!L$21:N$24,MATCH(配置表!E116,データ!K$21:K$24,0),MATCH(配置表!G116,データ!L$20:N$20,0))</f>
        <v>1</v>
      </c>
      <c r="I116" s="52" t="str">
        <f>IF(ISERROR(VLOOKUP(M116,データ!$A$3:$C$20,3,FALSE)),"",VLOOKUP(M116,データ!$A$3:$C$20,3,FALSE))</f>
        <v/>
      </c>
      <c r="J116" s="52" t="str">
        <f t="shared" si="116"/>
        <v/>
      </c>
      <c r="K116" s="53">
        <f t="shared" si="117"/>
        <v>0</v>
      </c>
      <c r="L116" s="28" t="str">
        <f t="shared" si="105"/>
        <v/>
      </c>
      <c r="M116" s="9">
        <f t="shared" si="118"/>
        <v>45849</v>
      </c>
      <c r="N116" s="8" t="str">
        <f t="shared" si="106"/>
        <v>金</v>
      </c>
      <c r="O116" s="62" t="str">
        <f>IF(AND(M116&gt;=VLOOKUP(M116,データ!$E$3:$G$9,1,TRUE),M116&lt;=VLOOKUP(M116,データ!$E$3:$G$9,2,TRUE)),VLOOKUP(M116,データ!$E$3:$G$9,3,TRUE),"")</f>
        <v>夏　特別展</v>
      </c>
      <c r="P116" s="67" t="str">
        <f>IF(AND(M116&gt;=VLOOKUP(M116,データ!$E$14:$G$21,1,TRUE),M116&lt;=VLOOKUP(M116,データ!$E$14:$G$21,2,TRUE)),VLOOKUP(M116,データ!$E$14:$G$21,3,TRUE),"")</f>
        <v>テーマ展</v>
      </c>
      <c r="Q116" s="44" t="str">
        <f t="shared" si="107"/>
        <v>○</v>
      </c>
      <c r="R116" s="45"/>
      <c r="S116" s="33" t="str">
        <f t="shared" si="124"/>
        <v/>
      </c>
      <c r="T116" s="45"/>
      <c r="U116" s="33" t="str">
        <f t="shared" si="122"/>
        <v>●</v>
      </c>
      <c r="V116" s="32"/>
      <c r="W116" s="33" t="str">
        <f t="shared" si="125"/>
        <v>○</v>
      </c>
      <c r="X116" s="8"/>
      <c r="Y116" s="33" t="str">
        <f t="shared" si="111"/>
        <v>○</v>
      </c>
      <c r="Z116" s="8">
        <f>IF(L116="閉","",(IF(AND(M116&gt;=VLOOKUP(M116,データ!$E$3:$G$9,1,TRUE),M116&lt;=VLOOKUP(M116,データ!$E$3:$G$9,2,TRUE)),VLOOKUP(M116,データ!$E$3:$H$9,4,TRUE),0)+IF(AND(M116&gt;=VLOOKUP(M116,データ!$E$14:$G$21,1,TRUE),M116&lt;=VLOOKUP(M116,データ!$E$14:$G$21,2,TRUE)),VLOOKUP(M116,データ!$E$14:$H$21,4,TRUE),0)))</f>
        <v>5</v>
      </c>
      <c r="AA116" s="33" t="str">
        <f t="shared" si="112"/>
        <v>○</v>
      </c>
      <c r="AB116" s="227">
        <f t="shared" si="113"/>
        <v>0.41666666666666669</v>
      </c>
      <c r="AC116" s="227">
        <f t="shared" si="114"/>
        <v>0.70833333333333337</v>
      </c>
      <c r="AD116" s="228" t="str">
        <f>IF(K116=1,IF(ISERROR(VLOOKUP(M116,データ!$A$3:$C$23,2,FALSE)),"",VLOOKUP(M116,データ!$A$3:$C$23,2,FALSE)),(IF(ISERROR(VLOOKUP(M116,データ!$A$3:$C$23,2,FALSE)),"",VLOOKUP(M116,データ!$A$3:$C$23,2,FALSE))))</f>
        <v/>
      </c>
    </row>
    <row r="117" spans="1:30">
      <c r="A117" s="1">
        <f>IF(AND(M117&gt;=VLOOKUP(M117,データ!$K$3:$O$6,1,TRUE),M117&lt;=VLOOKUP(M117,データ!$K$3:$O$6,2,TRUE)),VLOOKUP(M117,データ!$K$3:$O$6,5,TRUE),"")</f>
        <v>1</v>
      </c>
      <c r="B117" s="74">
        <f>IF(AND(M117&gt;=VLOOKUP(M117,データ!$K$3:$O$6,1,TRUE),M117&lt;=VLOOKUP(M117,データ!$K$3:$O$6,2,TRUE)),VLOOKUP(M117,データ!$K$3:$O$6,3,TRUE),"")</f>
        <v>0.41666666666666669</v>
      </c>
      <c r="C117" s="1">
        <f>IF(AND(M117&gt;=VLOOKUP(M117,データ!$K$11:$O$16,1,TRUE),M117&lt;=VLOOKUP(M117,データ!$K$11:$O$16,2,TRUE)),VLOOKUP(M117,データ!$K$11:$O$16,5,TRUE),0)</f>
        <v>0</v>
      </c>
      <c r="D117" s="74" t="str">
        <f>IF(AND(M117&gt;=VLOOKUP(M117,データ!$K$11:$O$16,1,TRUE),M117&lt;=VLOOKUP(M117,データ!$K$11:$O$16,2,TRUE)),VLOOKUP(M117,データ!$K$11:$O$16,3,TRUE),"")</f>
        <v/>
      </c>
      <c r="E117" s="74">
        <f t="shared" si="115"/>
        <v>0.41666666666666669</v>
      </c>
      <c r="F117" s="75">
        <f>VLOOKUP(E117,データ!$K$20:$O$24,5,FALSE)</f>
        <v>0</v>
      </c>
      <c r="G117" s="74">
        <f>IF(AND(M117&gt;=VLOOKUP(M117,データ!$K$3:$O$6,1,TRUE),M117&lt;=VLOOKUP(M117,データ!$K$3:$O$6,2,TRUE)),VLOOKUP(M117,データ!$K$3:$O$6,4,TRUE),"")</f>
        <v>0.70833333333333337</v>
      </c>
      <c r="H117" s="256">
        <f>INDEX(データ!L$21:N$24,MATCH(配置表!E117,データ!K$21:K$24,0),MATCH(配置表!G117,データ!L$20:N$20,0))</f>
        <v>1</v>
      </c>
      <c r="I117" s="52" t="str">
        <f>IF(ISERROR(VLOOKUP(M117,データ!$A$3:$C$20,3,FALSE)),"",VLOOKUP(M117,データ!$A$3:$C$20,3,FALSE))</f>
        <v/>
      </c>
      <c r="J117" s="52" t="str">
        <f t="shared" si="116"/>
        <v/>
      </c>
      <c r="K117" s="53">
        <f t="shared" si="117"/>
        <v>0</v>
      </c>
      <c r="L117" s="28" t="str">
        <f t="shared" si="105"/>
        <v/>
      </c>
      <c r="M117" s="9">
        <f t="shared" si="118"/>
        <v>45850</v>
      </c>
      <c r="N117" s="8" t="str">
        <f t="shared" si="106"/>
        <v>土</v>
      </c>
      <c r="O117" s="62" t="str">
        <f>IF(AND(M117&gt;=VLOOKUP(M117,データ!$E$3:$G$9,1,TRUE),M117&lt;=VLOOKUP(M117,データ!$E$3:$G$9,2,TRUE)),VLOOKUP(M117,データ!$E$3:$G$9,3,TRUE),"")</f>
        <v>夏　特別展</v>
      </c>
      <c r="P117" s="67" t="str">
        <f>IF(AND(M117&gt;=VLOOKUP(M117,データ!$E$14:$G$21,1,TRUE),M117&lt;=VLOOKUP(M117,データ!$E$14:$G$21,2,TRUE)),VLOOKUP(M117,データ!$E$14:$G$21,3,TRUE),"")</f>
        <v>テーマ展</v>
      </c>
      <c r="Q117" s="44" t="str">
        <f t="shared" si="107"/>
        <v>○</v>
      </c>
      <c r="R117" s="45"/>
      <c r="S117" s="10" t="str">
        <f t="shared" ref="S117:S118" si="126">IF(L117="閉","休",IF(O117="","",IF(O117="冬　特別展",IF(OR(N117="土",N117="日",I117=1),"○",""),"○")))</f>
        <v>○</v>
      </c>
      <c r="T117" s="45"/>
      <c r="U117" s="33" t="str">
        <f t="shared" si="122"/>
        <v>●</v>
      </c>
      <c r="V117" s="32"/>
      <c r="W117" s="33" t="str">
        <f t="shared" ref="W117:W118" si="127">IF(L117="閉","休",IF(O117="","",IF(OR(N117="土",N117="日",I117=1),IF(OR(O117="ダミー　特別展",O117="ダミー　特別展"),"◎",IF(OR(O117="夏　特別展",O117="秋　特別展",O117="春　特別展"),"◎","")),"")))</f>
        <v>◎</v>
      </c>
      <c r="X117" s="8"/>
      <c r="Y117" s="33" t="str">
        <f t="shared" si="111"/>
        <v>○</v>
      </c>
      <c r="Z117" s="8">
        <f>IF(L117="閉","",(IF(AND(M117&gt;=VLOOKUP(M117,データ!$E$3:$G$9,1,TRUE),M117&lt;=VLOOKUP(M117,データ!$E$3:$G$9,2,TRUE)),VLOOKUP(M117,データ!$E$3:$H$9,4,TRUE),0)+IF(AND(M117&gt;=VLOOKUP(M117,データ!$E$14:$G$21,1,TRUE),M117&lt;=VLOOKUP(M117,データ!$E$14:$G$21,2,TRUE)),VLOOKUP(M117,データ!$E$14:$H$21,4,TRUE),0)))</f>
        <v>5</v>
      </c>
      <c r="AA117" s="33" t="str">
        <f t="shared" si="112"/>
        <v>○</v>
      </c>
      <c r="AB117" s="227">
        <f t="shared" si="113"/>
        <v>0.41666666666666669</v>
      </c>
      <c r="AC117" s="227">
        <f t="shared" si="114"/>
        <v>0.70833333333333337</v>
      </c>
      <c r="AD117" s="228" t="str">
        <f>IF(K117=1,IF(ISERROR(VLOOKUP(M117,データ!$A$3:$C$23,2,FALSE)),"",VLOOKUP(M117,データ!$A$3:$C$23,2,FALSE)),(IF(ISERROR(VLOOKUP(M117,データ!$A$3:$C$23,2,FALSE)),"",VLOOKUP(M117,データ!$A$3:$C$23,2,FALSE))))</f>
        <v/>
      </c>
    </row>
    <row r="118" spans="1:30">
      <c r="A118" s="1">
        <f>IF(AND(M118&gt;=VLOOKUP(M118,データ!$K$3:$O$6,1,TRUE),M118&lt;=VLOOKUP(M118,データ!$K$3:$O$6,2,TRUE)),VLOOKUP(M118,データ!$K$3:$O$6,5,TRUE),"")</f>
        <v>1</v>
      </c>
      <c r="B118" s="74">
        <f>IF(AND(M118&gt;=VLOOKUP(M118,データ!$K$3:$O$6,1,TRUE),M118&lt;=VLOOKUP(M118,データ!$K$3:$O$6,2,TRUE)),VLOOKUP(M118,データ!$K$3:$O$6,3,TRUE),"")</f>
        <v>0.41666666666666669</v>
      </c>
      <c r="C118" s="1">
        <f>IF(AND(M118&gt;=VLOOKUP(M118,データ!$K$11:$O$16,1,TRUE),M118&lt;=VLOOKUP(M118,データ!$K$11:$O$16,2,TRUE)),VLOOKUP(M118,データ!$K$11:$O$16,5,TRUE),0)</f>
        <v>0</v>
      </c>
      <c r="D118" s="74" t="str">
        <f>IF(AND(M118&gt;=VLOOKUP(M118,データ!$K$11:$O$16,1,TRUE),M118&lt;=VLOOKUP(M118,データ!$K$11:$O$16,2,TRUE)),VLOOKUP(M118,データ!$K$11:$O$16,3,TRUE),"")</f>
        <v/>
      </c>
      <c r="E118" s="74">
        <f t="shared" si="115"/>
        <v>0.41666666666666669</v>
      </c>
      <c r="F118" s="75">
        <f>VLOOKUP(E118,データ!$K$20:$O$24,5,FALSE)</f>
        <v>0</v>
      </c>
      <c r="G118" s="74">
        <f>IF(AND(M118&gt;=VLOOKUP(M118,データ!$K$3:$O$6,1,TRUE),M118&lt;=VLOOKUP(M118,データ!$K$3:$O$6,2,TRUE)),VLOOKUP(M118,データ!$K$3:$O$6,4,TRUE),"")</f>
        <v>0.70833333333333337</v>
      </c>
      <c r="H118" s="256">
        <f>INDEX(データ!L$21:N$24,MATCH(配置表!E118,データ!K$21:K$24,0),MATCH(配置表!G118,データ!L$20:N$20,0))</f>
        <v>1</v>
      </c>
      <c r="I118" s="52" t="str">
        <f>IF(ISERROR(VLOOKUP(M118,データ!$A$3:$C$20,3,FALSE)),"",VLOOKUP(M118,データ!$A$3:$C$20,3,FALSE))</f>
        <v/>
      </c>
      <c r="J118" s="52" t="str">
        <f t="shared" si="116"/>
        <v/>
      </c>
      <c r="K118" s="53">
        <f t="shared" si="117"/>
        <v>0</v>
      </c>
      <c r="L118" s="28" t="str">
        <f t="shared" si="105"/>
        <v/>
      </c>
      <c r="M118" s="9">
        <f t="shared" si="118"/>
        <v>45851</v>
      </c>
      <c r="N118" s="8" t="str">
        <f t="shared" si="106"/>
        <v>日</v>
      </c>
      <c r="O118" s="62" t="str">
        <f>IF(AND(M118&gt;=VLOOKUP(M118,データ!$E$3:$G$9,1,TRUE),M118&lt;=VLOOKUP(M118,データ!$E$3:$G$9,2,TRUE)),VLOOKUP(M118,データ!$E$3:$G$9,3,TRUE),"")</f>
        <v>夏　特別展</v>
      </c>
      <c r="P118" s="67" t="str">
        <f>IF(AND(M118&gt;=VLOOKUP(M118,データ!$E$14:$G$21,1,TRUE),M118&lt;=VLOOKUP(M118,データ!$E$14:$G$21,2,TRUE)),VLOOKUP(M118,データ!$E$14:$G$21,3,TRUE),"")</f>
        <v>テーマ展</v>
      </c>
      <c r="Q118" s="44" t="str">
        <f t="shared" si="107"/>
        <v>○</v>
      </c>
      <c r="R118" s="45"/>
      <c r="S118" s="10" t="str">
        <f t="shared" si="126"/>
        <v>○</v>
      </c>
      <c r="T118" s="45"/>
      <c r="U118" s="33" t="str">
        <f t="shared" si="122"/>
        <v>●</v>
      </c>
      <c r="V118" s="32"/>
      <c r="W118" s="33" t="str">
        <f t="shared" si="127"/>
        <v>◎</v>
      </c>
      <c r="X118" s="8"/>
      <c r="Y118" s="10" t="str">
        <f t="shared" si="111"/>
        <v>○</v>
      </c>
      <c r="Z118" s="32">
        <f>IF(L118="閉","",(IF(AND(M118&gt;=VLOOKUP(M118,データ!$E$3:$G$9,1,TRUE),M118&lt;=VLOOKUP(M118,データ!$E$3:$G$9,2,TRUE)),VLOOKUP(M118,データ!$E$3:$H$9,4,TRUE),0)+IF(AND(M118&gt;=VLOOKUP(M118,データ!$E$14:$G$21,1,TRUE),M118&lt;=VLOOKUP(M118,データ!$E$14:$G$21,2,TRUE)),VLOOKUP(M118,データ!$E$14:$H$21,4,TRUE),0)))</f>
        <v>5</v>
      </c>
      <c r="AA118" s="33" t="str">
        <f t="shared" si="112"/>
        <v>○</v>
      </c>
      <c r="AB118" s="227">
        <f t="shared" si="113"/>
        <v>0.41666666666666669</v>
      </c>
      <c r="AC118" s="227">
        <f t="shared" si="114"/>
        <v>0.70833333333333337</v>
      </c>
      <c r="AD118" s="228" t="str">
        <f>IF(K118=1,IF(ISERROR(VLOOKUP(M118,データ!$A$3:$C$23,2,FALSE)),"",VLOOKUP(M118,データ!$A$3:$C$23,2,FALSE)),(IF(ISERROR(VLOOKUP(M118,データ!$A$3:$C$23,2,FALSE)),"",VLOOKUP(M118,データ!$A$3:$C$23,2,FALSE))))</f>
        <v/>
      </c>
    </row>
    <row r="119" spans="1:30">
      <c r="A119" s="1">
        <f>IF(AND(M119&gt;=VLOOKUP(M119,データ!$K$3:$O$6,1,TRUE),M119&lt;=VLOOKUP(M119,データ!$K$3:$O$6,2,TRUE)),VLOOKUP(M119,データ!$K$3:$O$6,5,TRUE),"")</f>
        <v>1</v>
      </c>
      <c r="B119" s="74">
        <f>IF(AND(M119&gt;=VLOOKUP(M119,データ!$K$3:$O$6,1,TRUE),M119&lt;=VLOOKUP(M119,データ!$K$3:$O$6,2,TRUE)),VLOOKUP(M119,データ!$K$3:$O$6,3,TRUE),"")</f>
        <v>0.41666666666666669</v>
      </c>
      <c r="C119" s="1">
        <f>IF(AND(M119&gt;=VLOOKUP(M119,データ!$K$11:$O$16,1,TRUE),M119&lt;=VLOOKUP(M119,データ!$K$11:$O$16,2,TRUE)),VLOOKUP(M119,データ!$K$11:$O$16,5,TRUE),0)</f>
        <v>0</v>
      </c>
      <c r="D119" s="74" t="str">
        <f>IF(AND(M119&gt;=VLOOKUP(M119,データ!$K$11:$O$16,1,TRUE),M119&lt;=VLOOKUP(M119,データ!$K$11:$O$16,2,TRUE)),VLOOKUP(M119,データ!$K$11:$O$16,3,TRUE),"")</f>
        <v/>
      </c>
      <c r="E119" s="74">
        <f t="shared" si="115"/>
        <v>0.41666666666666669</v>
      </c>
      <c r="F119" s="75">
        <f>VLOOKUP(E119,データ!$K$20:$O$24,5,FALSE)</f>
        <v>0</v>
      </c>
      <c r="G119" s="74">
        <f>IF(AND(M119&gt;=VLOOKUP(M119,データ!$K$3:$O$6,1,TRUE),M119&lt;=VLOOKUP(M119,データ!$K$3:$O$6,2,TRUE)),VLOOKUP(M119,データ!$K$3:$O$6,4,TRUE),"")</f>
        <v>0.70833333333333337</v>
      </c>
      <c r="H119" s="256">
        <f>INDEX(データ!L$21:N$24,MATCH(配置表!E119,データ!K$21:K$24,0),MATCH(配置表!G119,データ!L$20:N$20,0))</f>
        <v>1</v>
      </c>
      <c r="I119" s="52" t="str">
        <f>IF(ISERROR(VLOOKUP(M119,データ!$A$3:$C$20,3,FALSE)),"",VLOOKUP(M119,データ!$A$3:$C$20,3,FALSE))</f>
        <v/>
      </c>
      <c r="J119" s="52">
        <f t="shared" si="116"/>
        <v>1</v>
      </c>
      <c r="K119" s="53">
        <f t="shared" si="117"/>
        <v>1</v>
      </c>
      <c r="L119" s="28" t="str">
        <f t="shared" si="105"/>
        <v>閉</v>
      </c>
      <c r="M119" s="9">
        <f t="shared" si="118"/>
        <v>45852</v>
      </c>
      <c r="N119" s="8" t="str">
        <f t="shared" si="106"/>
        <v>月</v>
      </c>
      <c r="O119" s="62" t="str">
        <f>IF(AND(M119&gt;=VLOOKUP(M119,データ!$E$3:$G$9,1,TRUE),M119&lt;=VLOOKUP(M119,データ!$E$3:$G$9,2,TRUE)),VLOOKUP(M119,データ!$E$3:$G$9,3,TRUE),"")</f>
        <v>夏　特別展</v>
      </c>
      <c r="P119" s="67" t="str">
        <f>IF(AND(M119&gt;=VLOOKUP(M119,データ!$E$14:$G$21,1,TRUE),M119&lt;=VLOOKUP(M119,データ!$E$14:$G$21,2,TRUE)),VLOOKUP(M119,データ!$E$14:$G$21,3,TRUE),"")</f>
        <v>テーマ展</v>
      </c>
      <c r="Q119" s="44" t="str">
        <f t="shared" si="107"/>
        <v>休</v>
      </c>
      <c r="R119" s="8"/>
      <c r="S119" s="33" t="str">
        <f t="shared" si="121"/>
        <v>休</v>
      </c>
      <c r="T119" s="8"/>
      <c r="U119" s="33" t="str">
        <f t="shared" si="122"/>
        <v>休</v>
      </c>
      <c r="V119" s="8"/>
      <c r="W119" s="33" t="str">
        <f t="shared" si="123"/>
        <v>休</v>
      </c>
      <c r="X119" s="8"/>
      <c r="Y119" s="33" t="str">
        <f t="shared" si="111"/>
        <v>休</v>
      </c>
      <c r="Z119" s="8" t="str">
        <f>IF(L119="閉","",(IF(AND(M119&gt;=VLOOKUP(M119,データ!$E$3:$G$9,1,TRUE),M119&lt;=VLOOKUP(M119,データ!$E$3:$G$9,2,TRUE)),VLOOKUP(M119,データ!$E$3:$H$9,4,TRUE),0)+IF(AND(M119&gt;=VLOOKUP(M119,データ!$E$14:$G$21,1,TRUE),M119&lt;=VLOOKUP(M119,データ!$E$14:$G$21,2,TRUE)),VLOOKUP(M119,データ!$E$14:$H$21,4,TRUE),0)))</f>
        <v/>
      </c>
      <c r="AA119" s="33" t="str">
        <f t="shared" si="112"/>
        <v>休</v>
      </c>
      <c r="AB119" s="227" t="str">
        <f t="shared" si="113"/>
        <v/>
      </c>
      <c r="AC119" s="227" t="str">
        <f t="shared" si="114"/>
        <v/>
      </c>
      <c r="AD119" s="228" t="str">
        <f>IF(K119=1,IF(ISERROR(VLOOKUP(M119,データ!$A$3:$C$23,2,FALSE)),"",VLOOKUP(M119,データ!$A$3:$C$23,2,FALSE)),(IF(ISERROR(VLOOKUP(M119,データ!$A$3:$C$23,2,FALSE)),"",VLOOKUP(M119,データ!$A$3:$C$23,2,FALSE))))</f>
        <v/>
      </c>
    </row>
    <row r="120" spans="1:30">
      <c r="A120" s="1">
        <f>IF(AND(M120&gt;=VLOOKUP(M120,データ!$K$3:$O$6,1,TRUE),M120&lt;=VLOOKUP(M120,データ!$K$3:$O$6,2,TRUE)),VLOOKUP(M120,データ!$K$3:$O$6,5,TRUE),"")</f>
        <v>1</v>
      </c>
      <c r="B120" s="74">
        <f>IF(AND(M120&gt;=VLOOKUP(M120,データ!$K$3:$O$6,1,TRUE),M120&lt;=VLOOKUP(M120,データ!$K$3:$O$6,2,TRUE)),VLOOKUP(M120,データ!$K$3:$O$6,3,TRUE),"")</f>
        <v>0.41666666666666669</v>
      </c>
      <c r="C120" s="1">
        <f>IF(AND(M120&gt;=VLOOKUP(M120,データ!$K$11:$O$16,1,TRUE),M120&lt;=VLOOKUP(M120,データ!$K$11:$O$16,2,TRUE)),VLOOKUP(M120,データ!$K$11:$O$16,5,TRUE),0)</f>
        <v>0</v>
      </c>
      <c r="D120" s="74" t="str">
        <f>IF(AND(M120&gt;=VLOOKUP(M120,データ!$K$11:$O$16,1,TRUE),M120&lt;=VLOOKUP(M120,データ!$K$11:$O$16,2,TRUE)),VLOOKUP(M120,データ!$K$11:$O$16,3,TRUE),"")</f>
        <v/>
      </c>
      <c r="E120" s="74">
        <f t="shared" si="115"/>
        <v>0.41666666666666669</v>
      </c>
      <c r="F120" s="75">
        <f>VLOOKUP(E120,データ!$K$20:$O$24,5,FALSE)</f>
        <v>0</v>
      </c>
      <c r="G120" s="74">
        <f>IF(AND(M120&gt;=VLOOKUP(M120,データ!$K$3:$O$6,1,TRUE),M120&lt;=VLOOKUP(M120,データ!$K$3:$O$6,2,TRUE)),VLOOKUP(M120,データ!$K$3:$O$6,4,TRUE),"")</f>
        <v>0.70833333333333337</v>
      </c>
      <c r="H120" s="256">
        <f>INDEX(データ!L$21:N$24,MATCH(配置表!E120,データ!K$21:K$24,0),MATCH(配置表!G120,データ!L$20:N$20,0))</f>
        <v>1</v>
      </c>
      <c r="I120" s="52" t="str">
        <f>IF(ISERROR(VLOOKUP(M120,データ!$A$3:$C$20,3,FALSE)),"",VLOOKUP(M120,データ!$A$3:$C$20,3,FALSE))</f>
        <v/>
      </c>
      <c r="J120" s="52" t="str">
        <f t="shared" si="116"/>
        <v/>
      </c>
      <c r="K120" s="53">
        <f t="shared" si="117"/>
        <v>0</v>
      </c>
      <c r="L120" s="28" t="str">
        <f t="shared" si="105"/>
        <v/>
      </c>
      <c r="M120" s="9">
        <f t="shared" si="118"/>
        <v>45853</v>
      </c>
      <c r="N120" s="8" t="str">
        <f t="shared" si="106"/>
        <v>火</v>
      </c>
      <c r="O120" s="62" t="str">
        <f>IF(AND(M120&gt;=VLOOKUP(M120,データ!$E$3:$G$9,1,TRUE),M120&lt;=VLOOKUP(M120,データ!$E$3:$G$9,2,TRUE)),VLOOKUP(M120,データ!$E$3:$G$9,3,TRUE),"")</f>
        <v>夏　特別展</v>
      </c>
      <c r="P120" s="67" t="str">
        <f>IF(AND(M120&gt;=VLOOKUP(M120,データ!$E$14:$G$21,1,TRUE),M120&lt;=VLOOKUP(M120,データ!$E$14:$G$21,2,TRUE)),VLOOKUP(M120,データ!$E$14:$G$21,3,TRUE),"")</f>
        <v>テーマ展</v>
      </c>
      <c r="Q120" s="44" t="str">
        <f t="shared" si="107"/>
        <v>○</v>
      </c>
      <c r="R120" s="45"/>
      <c r="S120" s="33" t="str">
        <f t="shared" ref="S120:S123" si="128">IF(H120="閉","休",IF(K120="","",IF(OR(J120="土",J120="日",E120=1),IF(OR(K120="ダミー　特別展",K120="ダミー　特別展"),"◎",IF(OR(K120="夏　特別展",K120="秋　特別展",K120="春　特別展"),"○","")),"")))</f>
        <v/>
      </c>
      <c r="T120" s="45"/>
      <c r="U120" s="33" t="str">
        <f t="shared" ref="U120:U125" si="129">IF(L120="閉","休",IF(S120="","●","●"))</f>
        <v>●</v>
      </c>
      <c r="V120" s="32"/>
      <c r="W120" s="33" t="str">
        <f t="shared" ref="W120:W123" si="130">IF(P120="閉","休",IF(O120="","",IF(O120="冬　特別展",IF(OR(N120="土",N120="日",M120=1),"○",""),"○")))</f>
        <v>○</v>
      </c>
      <c r="X120" s="8"/>
      <c r="Y120" s="33" t="str">
        <f t="shared" si="111"/>
        <v>○</v>
      </c>
      <c r="Z120" s="8">
        <f>IF(L120="閉","",(IF(AND(M120&gt;=VLOOKUP(M120,データ!$E$3:$G$9,1,TRUE),M120&lt;=VLOOKUP(M120,データ!$E$3:$G$9,2,TRUE)),VLOOKUP(M120,データ!$E$3:$H$9,4,TRUE),0)+IF(AND(M120&gt;=VLOOKUP(M120,データ!$E$14:$G$21,1,TRUE),M120&lt;=VLOOKUP(M120,データ!$E$14:$G$21,2,TRUE)),VLOOKUP(M120,データ!$E$14:$H$21,4,TRUE),0)))</f>
        <v>5</v>
      </c>
      <c r="AA120" s="33" t="str">
        <f t="shared" si="112"/>
        <v>○</v>
      </c>
      <c r="AB120" s="227">
        <f t="shared" si="113"/>
        <v>0.41666666666666669</v>
      </c>
      <c r="AC120" s="227">
        <f t="shared" si="114"/>
        <v>0.70833333333333337</v>
      </c>
      <c r="AD120" s="228" t="str">
        <f>IF(K120=1,IF(ISERROR(VLOOKUP(M120,データ!$A$3:$C$23,2,FALSE)),"",VLOOKUP(M120,データ!$A$3:$C$23,2,FALSE)),(IF(ISERROR(VLOOKUP(M120,データ!$A$3:$C$23,2,FALSE)),"",VLOOKUP(M120,データ!$A$3:$C$23,2,FALSE))))</f>
        <v/>
      </c>
    </row>
    <row r="121" spans="1:30">
      <c r="A121" s="1">
        <f>IF(AND(M121&gt;=VLOOKUP(M121,データ!$K$3:$O$6,1,TRUE),M121&lt;=VLOOKUP(M121,データ!$K$3:$O$6,2,TRUE)),VLOOKUP(M121,データ!$K$3:$O$6,5,TRUE),"")</f>
        <v>1</v>
      </c>
      <c r="B121" s="74">
        <f>IF(AND(M121&gt;=VLOOKUP(M121,データ!$K$3:$O$6,1,TRUE),M121&lt;=VLOOKUP(M121,データ!$K$3:$O$6,2,TRUE)),VLOOKUP(M121,データ!$K$3:$O$6,3,TRUE),"")</f>
        <v>0.41666666666666669</v>
      </c>
      <c r="C121" s="1">
        <f>IF(AND(M121&gt;=VLOOKUP(M121,データ!$K$11:$O$16,1,TRUE),M121&lt;=VLOOKUP(M121,データ!$K$11:$O$16,2,TRUE)),VLOOKUP(M121,データ!$K$11:$O$16,5,TRUE),0)</f>
        <v>0</v>
      </c>
      <c r="D121" s="74" t="str">
        <f>IF(AND(M121&gt;=VLOOKUP(M121,データ!$K$11:$O$16,1,TRUE),M121&lt;=VLOOKUP(M121,データ!$K$11:$O$16,2,TRUE)),VLOOKUP(M121,データ!$K$11:$O$16,3,TRUE),"")</f>
        <v/>
      </c>
      <c r="E121" s="74">
        <f t="shared" si="115"/>
        <v>0.41666666666666669</v>
      </c>
      <c r="F121" s="75">
        <f>VLOOKUP(E121,データ!$K$20:$O$24,5,FALSE)</f>
        <v>0</v>
      </c>
      <c r="G121" s="74">
        <f>IF(AND(M121&gt;=VLOOKUP(M121,データ!$K$3:$O$6,1,TRUE),M121&lt;=VLOOKUP(M121,データ!$K$3:$O$6,2,TRUE)),VLOOKUP(M121,データ!$K$3:$O$6,4,TRUE),"")</f>
        <v>0.70833333333333337</v>
      </c>
      <c r="H121" s="256">
        <f>INDEX(データ!L$21:N$24,MATCH(配置表!E121,データ!K$21:K$24,0),MATCH(配置表!G121,データ!L$20:N$20,0))</f>
        <v>1</v>
      </c>
      <c r="I121" s="52" t="str">
        <f>IF(ISERROR(VLOOKUP(M121,データ!$A$3:$C$20,3,FALSE)),"",VLOOKUP(M121,データ!$A$3:$C$20,3,FALSE))</f>
        <v/>
      </c>
      <c r="J121" s="52" t="str">
        <f t="shared" si="116"/>
        <v/>
      </c>
      <c r="K121" s="53">
        <f t="shared" si="117"/>
        <v>0</v>
      </c>
      <c r="L121" s="28" t="str">
        <f t="shared" si="105"/>
        <v/>
      </c>
      <c r="M121" s="9">
        <f t="shared" si="118"/>
        <v>45854</v>
      </c>
      <c r="N121" s="8" t="str">
        <f t="shared" si="106"/>
        <v>水</v>
      </c>
      <c r="O121" s="62" t="str">
        <f>IF(AND(M121&gt;=VLOOKUP(M121,データ!$E$3:$G$9,1,TRUE),M121&lt;=VLOOKUP(M121,データ!$E$3:$G$9,2,TRUE)),VLOOKUP(M121,データ!$E$3:$G$9,3,TRUE),"")</f>
        <v>夏　特別展</v>
      </c>
      <c r="P121" s="67" t="str">
        <f>IF(AND(M121&gt;=VLOOKUP(M121,データ!$E$14:$G$21,1,TRUE),M121&lt;=VLOOKUP(M121,データ!$E$14:$G$21,2,TRUE)),VLOOKUP(M121,データ!$E$14:$G$21,3,TRUE),"")</f>
        <v>テーマ展</v>
      </c>
      <c r="Q121" s="44" t="str">
        <f t="shared" si="107"/>
        <v>○</v>
      </c>
      <c r="R121" s="45"/>
      <c r="S121" s="33" t="str">
        <f t="shared" si="128"/>
        <v/>
      </c>
      <c r="T121" s="45"/>
      <c r="U121" s="33" t="str">
        <f t="shared" si="129"/>
        <v>●</v>
      </c>
      <c r="V121" s="32"/>
      <c r="W121" s="33" t="str">
        <f t="shared" si="130"/>
        <v>○</v>
      </c>
      <c r="X121" s="8"/>
      <c r="Y121" s="33" t="str">
        <f t="shared" si="111"/>
        <v>○</v>
      </c>
      <c r="Z121" s="8">
        <f>IF(L121="閉","",(IF(AND(M121&gt;=VLOOKUP(M121,データ!$E$3:$G$9,1,TRUE),M121&lt;=VLOOKUP(M121,データ!$E$3:$G$9,2,TRUE)),VLOOKUP(M121,データ!$E$3:$H$9,4,TRUE),0)+IF(AND(M121&gt;=VLOOKUP(M121,データ!$E$14:$G$21,1,TRUE),M121&lt;=VLOOKUP(M121,データ!$E$14:$G$21,2,TRUE)),VLOOKUP(M121,データ!$E$14:$H$21,4,TRUE),0)))</f>
        <v>5</v>
      </c>
      <c r="AA121" s="33" t="str">
        <f t="shared" si="112"/>
        <v>○</v>
      </c>
      <c r="AB121" s="227">
        <f t="shared" si="113"/>
        <v>0.41666666666666669</v>
      </c>
      <c r="AC121" s="227">
        <f t="shared" si="114"/>
        <v>0.70833333333333337</v>
      </c>
      <c r="AD121" s="228" t="str">
        <f>IF(K121=1,IF(ISERROR(VLOOKUP(M121,データ!$A$3:$C$23,2,FALSE)),"",VLOOKUP(M121,データ!$A$3:$C$23,2,FALSE)),(IF(ISERROR(VLOOKUP(M121,データ!$A$3:$C$23,2,FALSE)),"",VLOOKUP(M121,データ!$A$3:$C$23,2,FALSE))))</f>
        <v/>
      </c>
    </row>
    <row r="122" spans="1:30">
      <c r="A122" s="1">
        <f>IF(AND(M122&gt;=VLOOKUP(M122,データ!$K$3:$O$6,1,TRUE),M122&lt;=VLOOKUP(M122,データ!$K$3:$O$6,2,TRUE)),VLOOKUP(M122,データ!$K$3:$O$6,5,TRUE),"")</f>
        <v>1</v>
      </c>
      <c r="B122" s="74">
        <f>IF(AND(M122&gt;=VLOOKUP(M122,データ!$K$3:$O$6,1,TRUE),M122&lt;=VLOOKUP(M122,データ!$K$3:$O$6,2,TRUE)),VLOOKUP(M122,データ!$K$3:$O$6,3,TRUE),"")</f>
        <v>0.41666666666666669</v>
      </c>
      <c r="C122" s="1">
        <f>IF(AND(M122&gt;=VLOOKUP(M122,データ!$K$11:$O$16,1,TRUE),M122&lt;=VLOOKUP(M122,データ!$K$11:$O$16,2,TRUE)),VLOOKUP(M122,データ!$K$11:$O$16,5,TRUE),0)</f>
        <v>0</v>
      </c>
      <c r="D122" s="74" t="str">
        <f>IF(AND(M122&gt;=VLOOKUP(M122,データ!$K$11:$O$16,1,TRUE),M122&lt;=VLOOKUP(M122,データ!$K$11:$O$16,2,TRUE)),VLOOKUP(M122,データ!$K$11:$O$16,3,TRUE),"")</f>
        <v/>
      </c>
      <c r="E122" s="74">
        <f t="shared" si="115"/>
        <v>0.41666666666666669</v>
      </c>
      <c r="F122" s="75">
        <f>VLOOKUP(E122,データ!$K$20:$O$24,5,FALSE)</f>
        <v>0</v>
      </c>
      <c r="G122" s="74">
        <f>IF(AND(M122&gt;=VLOOKUP(M122,データ!$K$3:$O$6,1,TRUE),M122&lt;=VLOOKUP(M122,データ!$K$3:$O$6,2,TRUE)),VLOOKUP(M122,データ!$K$3:$O$6,4,TRUE),"")</f>
        <v>0.70833333333333337</v>
      </c>
      <c r="H122" s="256">
        <f>INDEX(データ!L$21:N$24,MATCH(配置表!E122,データ!K$21:K$24,0),MATCH(配置表!G122,データ!L$20:N$20,0))</f>
        <v>1</v>
      </c>
      <c r="I122" s="52" t="str">
        <f>IF(ISERROR(VLOOKUP(M122,データ!$A$3:$C$20,3,FALSE)),"",VLOOKUP(M122,データ!$A$3:$C$20,3,FALSE))</f>
        <v/>
      </c>
      <c r="J122" s="52" t="str">
        <f t="shared" si="116"/>
        <v/>
      </c>
      <c r="K122" s="53">
        <f t="shared" si="117"/>
        <v>0</v>
      </c>
      <c r="L122" s="28" t="str">
        <f t="shared" si="105"/>
        <v/>
      </c>
      <c r="M122" s="9">
        <f t="shared" si="118"/>
        <v>45855</v>
      </c>
      <c r="N122" s="8" t="str">
        <f t="shared" si="106"/>
        <v>木</v>
      </c>
      <c r="O122" s="62" t="str">
        <f>IF(AND(M122&gt;=VLOOKUP(M122,データ!$E$3:$G$9,1,TRUE),M122&lt;=VLOOKUP(M122,データ!$E$3:$G$9,2,TRUE)),VLOOKUP(M122,データ!$E$3:$G$9,3,TRUE),"")</f>
        <v>夏　特別展</v>
      </c>
      <c r="P122" s="67" t="str">
        <f>IF(AND(M122&gt;=VLOOKUP(M122,データ!$E$14:$G$21,1,TRUE),M122&lt;=VLOOKUP(M122,データ!$E$14:$G$21,2,TRUE)),VLOOKUP(M122,データ!$E$14:$G$21,3,TRUE),"")</f>
        <v>テーマ展</v>
      </c>
      <c r="Q122" s="44" t="str">
        <f t="shared" si="107"/>
        <v>○</v>
      </c>
      <c r="R122" s="45"/>
      <c r="S122" s="33" t="str">
        <f t="shared" si="128"/>
        <v/>
      </c>
      <c r="T122" s="45"/>
      <c r="U122" s="33" t="str">
        <f t="shared" si="129"/>
        <v>●</v>
      </c>
      <c r="V122" s="32"/>
      <c r="W122" s="33" t="str">
        <f t="shared" si="130"/>
        <v>○</v>
      </c>
      <c r="X122" s="8"/>
      <c r="Y122" s="33" t="str">
        <f t="shared" si="111"/>
        <v>○</v>
      </c>
      <c r="Z122" s="8">
        <f>IF(L122="閉","",(IF(AND(M122&gt;=VLOOKUP(M122,データ!$E$3:$G$9,1,TRUE),M122&lt;=VLOOKUP(M122,データ!$E$3:$G$9,2,TRUE)),VLOOKUP(M122,データ!$E$3:$H$9,4,TRUE),0)+IF(AND(M122&gt;=VLOOKUP(M122,データ!$E$14:$G$21,1,TRUE),M122&lt;=VLOOKUP(M122,データ!$E$14:$G$21,2,TRUE)),VLOOKUP(M122,データ!$E$14:$H$21,4,TRUE),0)))</f>
        <v>5</v>
      </c>
      <c r="AA122" s="33" t="str">
        <f t="shared" si="112"/>
        <v>○</v>
      </c>
      <c r="AB122" s="227">
        <f t="shared" si="113"/>
        <v>0.41666666666666669</v>
      </c>
      <c r="AC122" s="227">
        <f t="shared" si="114"/>
        <v>0.70833333333333337</v>
      </c>
      <c r="AD122" s="228" t="str">
        <f>IF(K122=1,IF(ISERROR(VLOOKUP(M122,データ!$A$3:$C$23,2,FALSE)),"",VLOOKUP(M122,データ!$A$3:$C$23,2,FALSE)),(IF(ISERROR(VLOOKUP(M122,データ!$A$3:$C$23,2,FALSE)),"",VLOOKUP(M122,データ!$A$3:$C$23,2,FALSE))))</f>
        <v/>
      </c>
    </row>
    <row r="123" spans="1:30">
      <c r="A123" s="1">
        <f>IF(AND(M123&gt;=VLOOKUP(M123,データ!$K$3:$O$6,1,TRUE),M123&lt;=VLOOKUP(M123,データ!$K$3:$O$6,2,TRUE)),VLOOKUP(M123,データ!$K$3:$O$6,5,TRUE),"")</f>
        <v>1</v>
      </c>
      <c r="B123" s="74">
        <f>IF(AND(M123&gt;=VLOOKUP(M123,データ!$K$3:$O$6,1,TRUE),M123&lt;=VLOOKUP(M123,データ!$K$3:$O$6,2,TRUE)),VLOOKUP(M123,データ!$K$3:$O$6,3,TRUE),"")</f>
        <v>0.41666666666666669</v>
      </c>
      <c r="C123" s="1">
        <f>IF(AND(M123&gt;=VLOOKUP(M123,データ!$K$11:$O$16,1,TRUE),M123&lt;=VLOOKUP(M123,データ!$K$11:$O$16,2,TRUE)),VLOOKUP(M123,データ!$K$11:$O$16,5,TRUE),0)</f>
        <v>0</v>
      </c>
      <c r="D123" s="74" t="str">
        <f>IF(AND(M123&gt;=VLOOKUP(M123,データ!$K$11:$O$16,1,TRUE),M123&lt;=VLOOKUP(M123,データ!$K$11:$O$16,2,TRUE)),VLOOKUP(M123,データ!$K$11:$O$16,3,TRUE),"")</f>
        <v/>
      </c>
      <c r="E123" s="74">
        <f t="shared" si="115"/>
        <v>0.41666666666666669</v>
      </c>
      <c r="F123" s="75">
        <f>VLOOKUP(E123,データ!$K$20:$O$24,5,FALSE)</f>
        <v>0</v>
      </c>
      <c r="G123" s="74">
        <f>IF(AND(M123&gt;=VLOOKUP(M123,データ!$K$3:$O$6,1,TRUE),M123&lt;=VLOOKUP(M123,データ!$K$3:$O$6,2,TRUE)),VLOOKUP(M123,データ!$K$3:$O$6,4,TRUE),"")</f>
        <v>0.70833333333333337</v>
      </c>
      <c r="H123" s="256">
        <f>INDEX(データ!L$21:N$24,MATCH(配置表!E123,データ!K$21:K$24,0),MATCH(配置表!G123,データ!L$20:N$20,0))</f>
        <v>1</v>
      </c>
      <c r="I123" s="52" t="str">
        <f>IF(ISERROR(VLOOKUP(M123,データ!$A$3:$C$20,3,FALSE)),"",VLOOKUP(M123,データ!$A$3:$C$20,3,FALSE))</f>
        <v/>
      </c>
      <c r="J123" s="52" t="str">
        <f t="shared" si="116"/>
        <v/>
      </c>
      <c r="K123" s="53">
        <f t="shared" si="117"/>
        <v>0</v>
      </c>
      <c r="L123" s="28" t="str">
        <f t="shared" si="105"/>
        <v/>
      </c>
      <c r="M123" s="9">
        <f t="shared" si="118"/>
        <v>45856</v>
      </c>
      <c r="N123" s="8" t="str">
        <f t="shared" si="106"/>
        <v>金</v>
      </c>
      <c r="O123" s="62" t="str">
        <f>IF(AND(M123&gt;=VLOOKUP(M123,データ!$E$3:$G$9,1,TRUE),M123&lt;=VLOOKUP(M123,データ!$E$3:$G$9,2,TRUE)),VLOOKUP(M123,データ!$E$3:$G$9,3,TRUE),"")</f>
        <v>夏　特別展</v>
      </c>
      <c r="P123" s="67" t="str">
        <f>IF(AND(M123&gt;=VLOOKUP(M123,データ!$E$14:$G$21,1,TRUE),M123&lt;=VLOOKUP(M123,データ!$E$14:$G$21,2,TRUE)),VLOOKUP(M123,データ!$E$14:$G$21,3,TRUE),"")</f>
        <v>テーマ展</v>
      </c>
      <c r="Q123" s="44" t="str">
        <f t="shared" si="107"/>
        <v>○</v>
      </c>
      <c r="R123" s="45"/>
      <c r="S123" s="33" t="str">
        <f t="shared" si="128"/>
        <v/>
      </c>
      <c r="T123" s="45"/>
      <c r="U123" s="33" t="str">
        <f t="shared" si="129"/>
        <v>●</v>
      </c>
      <c r="V123" s="32"/>
      <c r="W123" s="33" t="str">
        <f t="shared" si="130"/>
        <v>○</v>
      </c>
      <c r="X123" s="8"/>
      <c r="Y123" s="33" t="str">
        <f t="shared" si="111"/>
        <v>○</v>
      </c>
      <c r="Z123" s="8">
        <f>IF(L123="閉","",(IF(AND(M123&gt;=VLOOKUP(M123,データ!$E$3:$G$9,1,TRUE),M123&lt;=VLOOKUP(M123,データ!$E$3:$G$9,2,TRUE)),VLOOKUP(M123,データ!$E$3:$H$9,4,TRUE),0)+IF(AND(M123&gt;=VLOOKUP(M123,データ!$E$14:$G$21,1,TRUE),M123&lt;=VLOOKUP(M123,データ!$E$14:$G$21,2,TRUE)),VLOOKUP(M123,データ!$E$14:$H$21,4,TRUE),0)))</f>
        <v>5</v>
      </c>
      <c r="AA123" s="33" t="str">
        <f t="shared" si="112"/>
        <v>○</v>
      </c>
      <c r="AB123" s="227">
        <f t="shared" si="113"/>
        <v>0.41666666666666669</v>
      </c>
      <c r="AC123" s="227">
        <f t="shared" si="114"/>
        <v>0.70833333333333337</v>
      </c>
      <c r="AD123" s="228" t="str">
        <f>IF(K123=1,IF(ISERROR(VLOOKUP(M123,データ!$A$3:$C$23,2,FALSE)),"",VLOOKUP(M123,データ!$A$3:$C$23,2,FALSE)),(IF(ISERROR(VLOOKUP(M123,データ!$A$3:$C$23,2,FALSE)),"",VLOOKUP(M123,データ!$A$3:$C$23,2,FALSE))))</f>
        <v/>
      </c>
    </row>
    <row r="124" spans="1:30">
      <c r="A124" s="1">
        <f>IF(AND(M124&gt;=VLOOKUP(M124,データ!$K$3:$O$6,1,TRUE),M124&lt;=VLOOKUP(M124,データ!$K$3:$O$6,2,TRUE)),VLOOKUP(M124,データ!$K$3:$O$6,5,TRUE),"")</f>
        <v>1</v>
      </c>
      <c r="B124" s="74">
        <f>IF(AND(M124&gt;=VLOOKUP(M124,データ!$K$3:$O$6,1,TRUE),M124&lt;=VLOOKUP(M124,データ!$K$3:$O$6,2,TRUE)),VLOOKUP(M124,データ!$K$3:$O$6,3,TRUE),"")</f>
        <v>0.41666666666666669</v>
      </c>
      <c r="C124" s="1">
        <f>IF(AND(M124&gt;=VLOOKUP(M124,データ!$K$11:$O$16,1,TRUE),M124&lt;=VLOOKUP(M124,データ!$K$11:$O$16,2,TRUE)),VLOOKUP(M124,データ!$K$11:$O$16,5,TRUE),0)</f>
        <v>0</v>
      </c>
      <c r="D124" s="74" t="str">
        <f>IF(AND(M124&gt;=VLOOKUP(M124,データ!$K$11:$O$16,1,TRUE),M124&lt;=VLOOKUP(M124,データ!$K$11:$O$16,2,TRUE)),VLOOKUP(M124,データ!$K$11:$O$16,3,TRUE),"")</f>
        <v/>
      </c>
      <c r="E124" s="74">
        <f t="shared" si="115"/>
        <v>0.41666666666666669</v>
      </c>
      <c r="F124" s="75">
        <f>VLOOKUP(E124,データ!$K$20:$O$24,5,FALSE)</f>
        <v>0</v>
      </c>
      <c r="G124" s="74">
        <f>IF(AND(M124&gt;=VLOOKUP(M124,データ!$K$3:$O$6,1,TRUE),M124&lt;=VLOOKUP(M124,データ!$K$3:$O$6,2,TRUE)),VLOOKUP(M124,データ!$K$3:$O$6,4,TRUE),"")</f>
        <v>0.70833333333333337</v>
      </c>
      <c r="H124" s="256">
        <f>INDEX(データ!L$21:N$24,MATCH(配置表!E124,データ!K$21:K$24,0),MATCH(配置表!G124,データ!L$20:N$20,0))</f>
        <v>1</v>
      </c>
      <c r="I124" s="52" t="str">
        <f>IF(ISERROR(VLOOKUP(M124,データ!$A$3:$C$20,3,FALSE)),"",VLOOKUP(M124,データ!$A$3:$C$20,3,FALSE))</f>
        <v/>
      </c>
      <c r="J124" s="52" t="str">
        <f t="shared" si="116"/>
        <v/>
      </c>
      <c r="K124" s="53">
        <f t="shared" si="117"/>
        <v>0</v>
      </c>
      <c r="L124" s="28" t="str">
        <f t="shared" si="105"/>
        <v/>
      </c>
      <c r="M124" s="9">
        <f t="shared" si="118"/>
        <v>45857</v>
      </c>
      <c r="N124" s="8" t="str">
        <f t="shared" si="106"/>
        <v>土</v>
      </c>
      <c r="O124" s="62" t="str">
        <f>IF(AND(M124&gt;=VLOOKUP(M124,データ!$E$3:$G$9,1,TRUE),M124&lt;=VLOOKUP(M124,データ!$E$3:$G$9,2,TRUE)),VLOOKUP(M124,データ!$E$3:$G$9,3,TRUE),"")</f>
        <v>夏　特別展</v>
      </c>
      <c r="P124" s="67" t="str">
        <f>IF(AND(M124&gt;=VLOOKUP(M124,データ!$E$14:$G$21,1,TRUE),M124&lt;=VLOOKUP(M124,データ!$E$14:$G$21,2,TRUE)),VLOOKUP(M124,データ!$E$14:$G$21,3,TRUE),"")</f>
        <v>テーマ展</v>
      </c>
      <c r="Q124" s="44" t="str">
        <f t="shared" si="107"/>
        <v>○</v>
      </c>
      <c r="R124" s="45"/>
      <c r="S124" s="10" t="str">
        <f t="shared" ref="S124:S125" si="131">IF(L124="閉","休",IF(O124="","",IF(O124="冬　特別展",IF(OR(N124="土",N124="日",I124=1),"○",""),"○")))</f>
        <v>○</v>
      </c>
      <c r="T124" s="45"/>
      <c r="U124" s="33" t="str">
        <f t="shared" si="129"/>
        <v>●</v>
      </c>
      <c r="V124" s="32"/>
      <c r="W124" s="33" t="str">
        <f t="shared" ref="W124:W125" si="132">IF(L124="閉","休",IF(O124="","",IF(OR(N124="土",N124="日",I124=1),IF(OR(O124="ダミー　特別展",O124="ダミー　特別展"),"◎",IF(OR(O124="夏　特別展",O124="秋　特別展",O124="春　特別展"),"◎","")),"")))</f>
        <v>◎</v>
      </c>
      <c r="X124" s="8"/>
      <c r="Y124" s="33" t="str">
        <f t="shared" si="111"/>
        <v>○</v>
      </c>
      <c r="Z124" s="8">
        <f>IF(L124="閉","",(IF(AND(M124&gt;=VLOOKUP(M124,データ!$E$3:$G$9,1,TRUE),M124&lt;=VLOOKUP(M124,データ!$E$3:$G$9,2,TRUE)),VLOOKUP(M124,データ!$E$3:$H$9,4,TRUE),0)+IF(AND(M124&gt;=VLOOKUP(M124,データ!$E$14:$G$21,1,TRUE),M124&lt;=VLOOKUP(M124,データ!$E$14:$G$21,2,TRUE)),VLOOKUP(M124,データ!$E$14:$H$21,4,TRUE),0)))</f>
        <v>5</v>
      </c>
      <c r="AA124" s="33" t="str">
        <f t="shared" si="112"/>
        <v>○</v>
      </c>
      <c r="AB124" s="227">
        <f t="shared" si="113"/>
        <v>0.41666666666666669</v>
      </c>
      <c r="AC124" s="227">
        <f t="shared" si="114"/>
        <v>0.70833333333333337</v>
      </c>
      <c r="AD124" s="228" t="str">
        <f>IF(K124=1,IF(ISERROR(VLOOKUP(M124,データ!$A$3:$C$23,2,FALSE)),"",VLOOKUP(M124,データ!$A$3:$C$23,2,FALSE)),(IF(ISERROR(VLOOKUP(M124,データ!$A$3:$C$23,2,FALSE)),"",VLOOKUP(M124,データ!$A$3:$C$23,2,FALSE))))</f>
        <v/>
      </c>
    </row>
    <row r="125" spans="1:30">
      <c r="A125" s="1">
        <f>IF(AND(M125&gt;=VLOOKUP(M125,データ!$K$3:$O$6,1,TRUE),M125&lt;=VLOOKUP(M125,データ!$K$3:$O$6,2,TRUE)),VLOOKUP(M125,データ!$K$3:$O$6,5,TRUE),"")</f>
        <v>1</v>
      </c>
      <c r="B125" s="74">
        <f>IF(AND(M125&gt;=VLOOKUP(M125,データ!$K$3:$O$6,1,TRUE),M125&lt;=VLOOKUP(M125,データ!$K$3:$O$6,2,TRUE)),VLOOKUP(M125,データ!$K$3:$O$6,3,TRUE),"")</f>
        <v>0.41666666666666669</v>
      </c>
      <c r="C125" s="1">
        <f>IF(AND(M125&gt;=VLOOKUP(M125,データ!$K$11:$O$16,1,TRUE),M125&lt;=VLOOKUP(M125,データ!$K$11:$O$16,2,TRUE)),VLOOKUP(M125,データ!$K$11:$O$16,5,TRUE),0)</f>
        <v>0</v>
      </c>
      <c r="D125" s="74" t="str">
        <f>IF(AND(M125&gt;=VLOOKUP(M125,データ!$K$11:$O$16,1,TRUE),M125&lt;=VLOOKUP(M125,データ!$K$11:$O$16,2,TRUE)),VLOOKUP(M125,データ!$K$11:$O$16,3,TRUE),"")</f>
        <v/>
      </c>
      <c r="E125" s="74">
        <f t="shared" si="115"/>
        <v>0.41666666666666669</v>
      </c>
      <c r="F125" s="75">
        <f>VLOOKUP(E125,データ!$K$20:$O$24,5,FALSE)</f>
        <v>0</v>
      </c>
      <c r="G125" s="74">
        <f>IF(AND(M125&gt;=VLOOKUP(M125,データ!$K$3:$O$6,1,TRUE),M125&lt;=VLOOKUP(M125,データ!$K$3:$O$6,2,TRUE)),VLOOKUP(M125,データ!$K$3:$O$6,4,TRUE),"")</f>
        <v>0.70833333333333337</v>
      </c>
      <c r="H125" s="256">
        <f>INDEX(データ!L$21:N$24,MATCH(配置表!E125,データ!K$21:K$24,0),MATCH(配置表!G125,データ!L$20:N$20,0))</f>
        <v>1</v>
      </c>
      <c r="I125" s="52" t="str">
        <f>IF(ISERROR(VLOOKUP(M125,データ!$A$3:$C$20,3,FALSE)),"",VLOOKUP(M125,データ!$A$3:$C$20,3,FALSE))</f>
        <v/>
      </c>
      <c r="J125" s="52" t="str">
        <f t="shared" si="116"/>
        <v/>
      </c>
      <c r="K125" s="53">
        <f t="shared" si="117"/>
        <v>0</v>
      </c>
      <c r="L125" s="28" t="str">
        <f t="shared" si="105"/>
        <v/>
      </c>
      <c r="M125" s="9">
        <f t="shared" si="118"/>
        <v>45858</v>
      </c>
      <c r="N125" s="8" t="str">
        <f t="shared" si="106"/>
        <v>日</v>
      </c>
      <c r="O125" s="62" t="str">
        <f>IF(AND(M125&gt;=VLOOKUP(M125,データ!$E$3:$G$9,1,TRUE),M125&lt;=VLOOKUP(M125,データ!$E$3:$G$9,2,TRUE)),VLOOKUP(M125,データ!$E$3:$G$9,3,TRUE),"")</f>
        <v>夏　特別展</v>
      </c>
      <c r="P125" s="67" t="str">
        <f>IF(AND(M125&gt;=VLOOKUP(M125,データ!$E$14:$G$21,1,TRUE),M125&lt;=VLOOKUP(M125,データ!$E$14:$G$21,2,TRUE)),VLOOKUP(M125,データ!$E$14:$G$21,3,TRUE),"")</f>
        <v>テーマ展</v>
      </c>
      <c r="Q125" s="44" t="str">
        <f t="shared" si="107"/>
        <v>○</v>
      </c>
      <c r="R125" s="45"/>
      <c r="S125" s="10" t="str">
        <f t="shared" si="131"/>
        <v>○</v>
      </c>
      <c r="T125" s="45"/>
      <c r="U125" s="33" t="str">
        <f t="shared" si="129"/>
        <v>●</v>
      </c>
      <c r="V125" s="32"/>
      <c r="W125" s="33" t="str">
        <f t="shared" si="132"/>
        <v>◎</v>
      </c>
      <c r="X125" s="8"/>
      <c r="Y125" s="10" t="str">
        <f t="shared" si="111"/>
        <v>○</v>
      </c>
      <c r="Z125" s="32">
        <f>IF(L125="閉","",(IF(AND(M125&gt;=VLOOKUP(M125,データ!$E$3:$G$9,1,TRUE),M125&lt;=VLOOKUP(M125,データ!$E$3:$G$9,2,TRUE)),VLOOKUP(M125,データ!$E$3:$H$9,4,TRUE),0)+IF(AND(M125&gt;=VLOOKUP(M125,データ!$E$14:$G$21,1,TRUE),M125&lt;=VLOOKUP(M125,データ!$E$14:$G$21,2,TRUE)),VLOOKUP(M125,データ!$E$14:$H$21,4,TRUE),0)))</f>
        <v>5</v>
      </c>
      <c r="AA125" s="33" t="str">
        <f t="shared" si="112"/>
        <v>○</v>
      </c>
      <c r="AB125" s="227">
        <f t="shared" si="113"/>
        <v>0.41666666666666669</v>
      </c>
      <c r="AC125" s="227">
        <f t="shared" si="114"/>
        <v>0.70833333333333337</v>
      </c>
      <c r="AD125" s="228" t="str">
        <f>IF(K125=1,IF(ISERROR(VLOOKUP(M125,データ!$A$3:$C$23,2,FALSE)),"",VLOOKUP(M125,データ!$A$3:$C$23,2,FALSE)),(IF(ISERROR(VLOOKUP(M125,データ!$A$3:$C$23,2,FALSE)),"",VLOOKUP(M125,データ!$A$3:$C$23,2,FALSE))))</f>
        <v/>
      </c>
    </row>
    <row r="126" spans="1:30">
      <c r="A126" s="1">
        <f>IF(AND(M126&gt;=VLOOKUP(M126,データ!$K$3:$O$6,1,TRUE),M126&lt;=VLOOKUP(M126,データ!$K$3:$O$6,2,TRUE)),VLOOKUP(M126,データ!$K$3:$O$6,5,TRUE),"")</f>
        <v>1</v>
      </c>
      <c r="B126" s="74">
        <f>IF(AND(M126&gt;=VLOOKUP(M126,データ!$K$3:$O$6,1,TRUE),M126&lt;=VLOOKUP(M126,データ!$K$3:$O$6,2,TRUE)),VLOOKUP(M126,データ!$K$3:$O$6,3,TRUE),"")</f>
        <v>0.41666666666666669</v>
      </c>
      <c r="C126" s="1">
        <f>IF(AND(M126&gt;=VLOOKUP(M126,データ!$K$11:$O$16,1,TRUE),M126&lt;=VLOOKUP(M126,データ!$K$11:$O$16,2,TRUE)),VLOOKUP(M126,データ!$K$11:$O$16,5,TRUE),0)</f>
        <v>0</v>
      </c>
      <c r="D126" s="74" t="str">
        <f>IF(AND(M126&gt;=VLOOKUP(M126,データ!$K$11:$O$16,1,TRUE),M126&lt;=VLOOKUP(M126,データ!$K$11:$O$16,2,TRUE)),VLOOKUP(M126,データ!$K$11:$O$16,3,TRUE),"")</f>
        <v/>
      </c>
      <c r="E126" s="74">
        <f t="shared" si="115"/>
        <v>0.41666666666666669</v>
      </c>
      <c r="F126" s="75">
        <f>VLOOKUP(E126,データ!$K$20:$O$24,5,FALSE)</f>
        <v>0</v>
      </c>
      <c r="G126" s="74">
        <f>IF(AND(M126&gt;=VLOOKUP(M126,データ!$K$3:$O$6,1,TRUE),M126&lt;=VLOOKUP(M126,データ!$K$3:$O$6,2,TRUE)),VLOOKUP(M126,データ!$K$3:$O$6,4,TRUE),"")</f>
        <v>0.70833333333333337</v>
      </c>
      <c r="H126" s="256">
        <f>INDEX(データ!L$21:N$24,MATCH(配置表!E126,データ!K$21:K$24,0),MATCH(配置表!G126,データ!L$20:N$20,0))</f>
        <v>1</v>
      </c>
      <c r="I126" s="52">
        <f>IF(ISERROR(VLOOKUP(M126,データ!$A$3:$C$20,3,FALSE)),"",VLOOKUP(M126,データ!$A$3:$C$20,3,FALSE))</f>
        <v>1</v>
      </c>
      <c r="J126" s="52">
        <f t="shared" si="116"/>
        <v>1</v>
      </c>
      <c r="K126" s="53">
        <f t="shared" si="117"/>
        <v>2</v>
      </c>
      <c r="L126" s="28" t="str">
        <f t="shared" si="105"/>
        <v/>
      </c>
      <c r="M126" s="9">
        <f t="shared" si="118"/>
        <v>45859</v>
      </c>
      <c r="N126" s="8" t="str">
        <f t="shared" si="106"/>
        <v>月</v>
      </c>
      <c r="O126" s="62" t="str">
        <f>IF(AND(M126&gt;=VLOOKUP(M126,データ!$E$3:$G$9,1,TRUE),M126&lt;=VLOOKUP(M126,データ!$E$3:$G$9,2,TRUE)),VLOOKUP(M126,データ!$E$3:$G$9,3,TRUE),"")</f>
        <v>夏　特別展</v>
      </c>
      <c r="P126" s="67" t="str">
        <f>IF(AND(M126&gt;=VLOOKUP(M126,データ!$E$14:$G$21,1,TRUE),M126&lt;=VLOOKUP(M126,データ!$E$14:$G$21,2,TRUE)),VLOOKUP(M126,データ!$E$14:$G$21,3,TRUE),"")</f>
        <v>テーマ展</v>
      </c>
      <c r="Q126" s="10" t="str">
        <f t="shared" si="107"/>
        <v>○</v>
      </c>
      <c r="R126" s="45"/>
      <c r="S126" s="10" t="str">
        <f t="shared" ref="S126" si="133">IF(L126="閉","休",IF(O126="","",IF(O126="冬　特別展",IF(OR(N126="土",N126="日",I126=1),"○",""),"○")))</f>
        <v>○</v>
      </c>
      <c r="T126" s="45"/>
      <c r="U126" s="33" t="str">
        <f t="shared" ref="U126" si="134">IF(L126="閉","休",IF(S126="","●","●"))</f>
        <v>●</v>
      </c>
      <c r="V126" s="32"/>
      <c r="W126" s="33" t="str">
        <f t="shared" ref="W126" si="135">IF(L126="閉","休",IF(O126="","",IF(OR(N126="土",N126="日",I126=1),IF(OR(O126="ダミー　特別展",O126="ダミー　特別展"),"◎",IF(OR(O126="夏　特別展",O126="秋　特別展",O126="春　特別展"),"◎","")),"")))</f>
        <v>◎</v>
      </c>
      <c r="X126" s="8"/>
      <c r="Y126" s="33" t="str">
        <f t="shared" si="111"/>
        <v>○</v>
      </c>
      <c r="Z126" s="8">
        <f>IF(L126="閉","",(IF(AND(M126&gt;=VLOOKUP(M126,データ!$E$3:$G$9,1,TRUE),M126&lt;=VLOOKUP(M126,データ!$E$3:$G$9,2,TRUE)),VLOOKUP(M126,データ!$E$3:$H$9,4,TRUE),0)+IF(AND(M126&gt;=VLOOKUP(M126,データ!$E$14:$G$21,1,TRUE),M126&lt;=VLOOKUP(M126,データ!$E$14:$G$21,2,TRUE)),VLOOKUP(M126,データ!$E$14:$H$21,4,TRUE),0)))</f>
        <v>5</v>
      </c>
      <c r="AA126" s="33" t="str">
        <f t="shared" si="112"/>
        <v>○</v>
      </c>
      <c r="AB126" s="227">
        <f t="shared" si="113"/>
        <v>0.41666666666666669</v>
      </c>
      <c r="AC126" s="227">
        <f t="shared" si="114"/>
        <v>0.70833333333333337</v>
      </c>
      <c r="AD126" s="228" t="str">
        <f>IF(K126=1,IF(ISERROR(VLOOKUP(M126,データ!$A$3:$C$23,2,FALSE)),"",VLOOKUP(M126,データ!$A$3:$C$23,2,FALSE)),(IF(ISERROR(VLOOKUP(M126,データ!$A$3:$C$23,2,FALSE)),"",VLOOKUP(M126,データ!$A$3:$C$23,2,FALSE))))</f>
        <v>海の日</v>
      </c>
    </row>
    <row r="127" spans="1:30">
      <c r="A127" s="1">
        <f>IF(AND(M127&gt;=VLOOKUP(M127,データ!$K$3:$O$6,1,TRUE),M127&lt;=VLOOKUP(M127,データ!$K$3:$O$6,2,TRUE)),VLOOKUP(M127,データ!$K$3:$O$6,5,TRUE),"")</f>
        <v>1</v>
      </c>
      <c r="B127" s="74">
        <f>IF(AND(M127&gt;=VLOOKUP(M127,データ!$K$3:$O$6,1,TRUE),M127&lt;=VLOOKUP(M127,データ!$K$3:$O$6,2,TRUE)),VLOOKUP(M127,データ!$K$3:$O$6,3,TRUE),"")</f>
        <v>0.41666666666666669</v>
      </c>
      <c r="C127" s="1">
        <f>IF(AND(M127&gt;=VLOOKUP(M127,データ!$K$11:$O$16,1,TRUE),M127&lt;=VLOOKUP(M127,データ!$K$11:$O$16,2,TRUE)),VLOOKUP(M127,データ!$K$11:$O$16,5,TRUE),0)</f>
        <v>0</v>
      </c>
      <c r="D127" s="74" t="str">
        <f>IF(AND(M127&gt;=VLOOKUP(M127,データ!$K$11:$O$16,1,TRUE),M127&lt;=VLOOKUP(M127,データ!$K$11:$O$16,2,TRUE)),VLOOKUP(M127,データ!$K$11:$O$16,3,TRUE),"")</f>
        <v/>
      </c>
      <c r="E127" s="74">
        <f t="shared" si="115"/>
        <v>0.41666666666666669</v>
      </c>
      <c r="F127" s="75">
        <f>VLOOKUP(E127,データ!$K$20:$O$24,5,FALSE)</f>
        <v>0</v>
      </c>
      <c r="G127" s="74">
        <f>IF(AND(M127&gt;=VLOOKUP(M127,データ!$K$3:$O$6,1,TRUE),M127&lt;=VLOOKUP(M127,データ!$K$3:$O$6,2,TRUE)),VLOOKUP(M127,データ!$K$3:$O$6,4,TRUE),"")</f>
        <v>0.70833333333333337</v>
      </c>
      <c r="H127" s="256">
        <f>INDEX(データ!L$21:N$24,MATCH(配置表!E127,データ!K$21:K$24,0),MATCH(配置表!G127,データ!L$20:N$20,0))</f>
        <v>1</v>
      </c>
      <c r="I127" s="52" t="str">
        <f>IF(ISERROR(VLOOKUP(M127,データ!$A$3:$C$20,3,FALSE)),"",VLOOKUP(M127,データ!$A$3:$C$20,3,FALSE))</f>
        <v/>
      </c>
      <c r="J127" s="52" t="str">
        <f t="shared" si="116"/>
        <v/>
      </c>
      <c r="K127" s="53">
        <f t="shared" si="117"/>
        <v>1</v>
      </c>
      <c r="L127" s="28" t="str">
        <f t="shared" si="105"/>
        <v>閉</v>
      </c>
      <c r="M127" s="9">
        <f t="shared" si="118"/>
        <v>45860</v>
      </c>
      <c r="N127" s="8" t="str">
        <f t="shared" si="106"/>
        <v>火</v>
      </c>
      <c r="O127" s="62" t="str">
        <f>IF(AND(M127&gt;=VLOOKUP(M127,データ!$E$3:$G$9,1,TRUE),M127&lt;=VLOOKUP(M127,データ!$E$3:$G$9,2,TRUE)),VLOOKUP(M127,データ!$E$3:$G$9,3,TRUE),"")</f>
        <v>夏　特別展</v>
      </c>
      <c r="P127" s="67" t="str">
        <f>IF(AND(M127&gt;=VLOOKUP(M127,データ!$E$14:$G$21,1,TRUE),M127&lt;=VLOOKUP(M127,データ!$E$14:$G$21,2,TRUE)),VLOOKUP(M127,データ!$E$14:$G$21,3,TRUE),"")</f>
        <v>テーマ展</v>
      </c>
      <c r="Q127" s="44" t="str">
        <f t="shared" si="107"/>
        <v>休</v>
      </c>
      <c r="R127" s="8"/>
      <c r="S127" s="33" t="str">
        <f t="shared" si="121"/>
        <v>休</v>
      </c>
      <c r="T127" s="8"/>
      <c r="U127" s="33" t="str">
        <f t="shared" si="122"/>
        <v>休</v>
      </c>
      <c r="V127" s="8"/>
      <c r="W127" s="33" t="str">
        <f t="shared" si="123"/>
        <v>休</v>
      </c>
      <c r="X127" s="8"/>
      <c r="Y127" s="33" t="str">
        <f t="shared" si="111"/>
        <v>休</v>
      </c>
      <c r="Z127" s="8" t="str">
        <f>IF(L127="閉","",(IF(AND(M127&gt;=VLOOKUP(M127,データ!$E$3:$G$9,1,TRUE),M127&lt;=VLOOKUP(M127,データ!$E$3:$G$9,2,TRUE)),VLOOKUP(M127,データ!$E$3:$H$9,4,TRUE),0)+IF(AND(M127&gt;=VLOOKUP(M127,データ!$E$14:$G$21,1,TRUE),M127&lt;=VLOOKUP(M127,データ!$E$14:$G$21,2,TRUE)),VLOOKUP(M127,データ!$E$14:$H$21,4,TRUE),0)))</f>
        <v/>
      </c>
      <c r="AA127" s="33" t="str">
        <f t="shared" si="112"/>
        <v>休</v>
      </c>
      <c r="AB127" s="227" t="str">
        <f t="shared" si="113"/>
        <v/>
      </c>
      <c r="AC127" s="227" t="str">
        <f t="shared" si="114"/>
        <v/>
      </c>
      <c r="AD127" s="228" t="str">
        <f>IF(K127=1,IF(ISERROR(VLOOKUP(M127,データ!$A$3:$C$23,2,FALSE)),"",VLOOKUP(M127,データ!$A$3:$C$23,2,FALSE)),(IF(ISERROR(VLOOKUP(M127,データ!$A$3:$C$23,2,FALSE)),"",VLOOKUP(M127,データ!$A$3:$C$23,2,FALSE))))</f>
        <v/>
      </c>
    </row>
    <row r="128" spans="1:30">
      <c r="A128" s="1">
        <f>IF(AND(M128&gt;=VLOOKUP(M128,データ!$K$3:$O$6,1,TRUE),M128&lt;=VLOOKUP(M128,データ!$K$3:$O$6,2,TRUE)),VLOOKUP(M128,データ!$K$3:$O$6,5,TRUE),"")</f>
        <v>1</v>
      </c>
      <c r="B128" s="74">
        <f>IF(AND(M128&gt;=VLOOKUP(M128,データ!$K$3:$O$6,1,TRUE),M128&lt;=VLOOKUP(M128,データ!$K$3:$O$6,2,TRUE)),VLOOKUP(M128,データ!$K$3:$O$6,3,TRUE),"")</f>
        <v>0.41666666666666669</v>
      </c>
      <c r="C128" s="1">
        <f>IF(AND(M128&gt;=VLOOKUP(M128,データ!$K$11:$O$16,1,TRUE),M128&lt;=VLOOKUP(M128,データ!$K$11:$O$16,2,TRUE)),VLOOKUP(M128,データ!$K$11:$O$16,5,TRUE),0)</f>
        <v>0</v>
      </c>
      <c r="D128" s="74" t="str">
        <f>IF(AND(M128&gt;=VLOOKUP(M128,データ!$K$11:$O$16,1,TRUE),M128&lt;=VLOOKUP(M128,データ!$K$11:$O$16,2,TRUE)),VLOOKUP(M128,データ!$K$11:$O$16,3,TRUE),"")</f>
        <v/>
      </c>
      <c r="E128" s="74">
        <f t="shared" si="115"/>
        <v>0.41666666666666669</v>
      </c>
      <c r="F128" s="75">
        <f>VLOOKUP(E128,データ!$K$20:$O$24,5,FALSE)</f>
        <v>0</v>
      </c>
      <c r="G128" s="74">
        <f>IF(AND(M128&gt;=VLOOKUP(M128,データ!$K$3:$O$6,1,TRUE),M128&lt;=VLOOKUP(M128,データ!$K$3:$O$6,2,TRUE)),VLOOKUP(M128,データ!$K$3:$O$6,4,TRUE),"")</f>
        <v>0.70833333333333337</v>
      </c>
      <c r="H128" s="256">
        <f>INDEX(データ!L$21:N$24,MATCH(配置表!E128,データ!K$21:K$24,0),MATCH(配置表!G128,データ!L$20:N$20,0))</f>
        <v>1</v>
      </c>
      <c r="I128" s="52" t="str">
        <f>IF(ISERROR(VLOOKUP(M128,データ!$A$3:$C$20,3,FALSE)),"",VLOOKUP(M128,データ!$A$3:$C$20,3,FALSE))</f>
        <v/>
      </c>
      <c r="J128" s="52" t="str">
        <f t="shared" si="116"/>
        <v/>
      </c>
      <c r="K128" s="53">
        <f t="shared" si="117"/>
        <v>0</v>
      </c>
      <c r="L128" s="28" t="str">
        <f t="shared" si="105"/>
        <v/>
      </c>
      <c r="M128" s="9">
        <f t="shared" si="118"/>
        <v>45861</v>
      </c>
      <c r="N128" s="8" t="str">
        <f t="shared" si="106"/>
        <v>水</v>
      </c>
      <c r="O128" s="62" t="str">
        <f>IF(AND(M128&gt;=VLOOKUP(M128,データ!$E$3:$G$9,1,TRUE),M128&lt;=VLOOKUP(M128,データ!$E$3:$G$9,2,TRUE)),VLOOKUP(M128,データ!$E$3:$G$9,3,TRUE),"")</f>
        <v>夏　特別展</v>
      </c>
      <c r="P128" s="67" t="str">
        <f>IF(AND(M128&gt;=VLOOKUP(M128,データ!$E$14:$G$21,1,TRUE),M128&lt;=VLOOKUP(M128,データ!$E$14:$G$21,2,TRUE)),VLOOKUP(M128,データ!$E$14:$G$21,3,TRUE),"")</f>
        <v>テーマ展</v>
      </c>
      <c r="Q128" s="44" t="str">
        <f t="shared" si="107"/>
        <v>○</v>
      </c>
      <c r="R128" s="45"/>
      <c r="S128" s="33" t="str">
        <f t="shared" ref="S128:S130" si="136">IF(H128="閉","休",IF(K128="","",IF(OR(J128="土",J128="日",E128=1),IF(OR(K128="ダミー　特別展",K128="ダミー　特別展"),"◎",IF(OR(K128="夏　特別展",K128="秋　特別展",K128="春　特別展"),"○","")),"")))</f>
        <v/>
      </c>
      <c r="T128" s="45"/>
      <c r="U128" s="33" t="str">
        <f t="shared" si="122"/>
        <v>●</v>
      </c>
      <c r="V128" s="32"/>
      <c r="W128" s="33" t="str">
        <f t="shared" ref="W128:W130" si="137">IF(P128="閉","休",IF(O128="","",IF(O128="冬　特別展",IF(OR(N128="土",N128="日",M128=1),"○",""),"○")))</f>
        <v>○</v>
      </c>
      <c r="X128" s="8"/>
      <c r="Y128" s="33" t="str">
        <f t="shared" si="111"/>
        <v>○</v>
      </c>
      <c r="Z128" s="8">
        <f>IF(L128="閉","",(IF(AND(M128&gt;=VLOOKUP(M128,データ!$E$3:$G$9,1,TRUE),M128&lt;=VLOOKUP(M128,データ!$E$3:$G$9,2,TRUE)),VLOOKUP(M128,データ!$E$3:$H$9,4,TRUE),0)+IF(AND(M128&gt;=VLOOKUP(M128,データ!$E$14:$G$21,1,TRUE),M128&lt;=VLOOKUP(M128,データ!$E$14:$G$21,2,TRUE)),VLOOKUP(M128,データ!$E$14:$H$21,4,TRUE),0)))</f>
        <v>5</v>
      </c>
      <c r="AA128" s="33" t="str">
        <f t="shared" si="112"/>
        <v>○</v>
      </c>
      <c r="AB128" s="227">
        <f t="shared" si="113"/>
        <v>0.41666666666666669</v>
      </c>
      <c r="AC128" s="227">
        <f t="shared" si="114"/>
        <v>0.70833333333333337</v>
      </c>
      <c r="AD128" s="228" t="str">
        <f>IF(K128=1,IF(ISERROR(VLOOKUP(M128,データ!$A$3:$C$23,2,FALSE)),"",VLOOKUP(M128,データ!$A$3:$C$23,2,FALSE)),(IF(ISERROR(VLOOKUP(M128,データ!$A$3:$C$23,2,FALSE)),"",VLOOKUP(M128,データ!$A$3:$C$23,2,FALSE))))</f>
        <v/>
      </c>
    </row>
    <row r="129" spans="1:30">
      <c r="A129" s="1">
        <f>IF(AND(M129&gt;=VLOOKUP(M129,データ!$K$3:$O$6,1,TRUE),M129&lt;=VLOOKUP(M129,データ!$K$3:$O$6,2,TRUE)),VLOOKUP(M129,データ!$K$3:$O$6,5,TRUE),"")</f>
        <v>1</v>
      </c>
      <c r="B129" s="74">
        <f>IF(AND(M129&gt;=VLOOKUP(M129,データ!$K$3:$O$6,1,TRUE),M129&lt;=VLOOKUP(M129,データ!$K$3:$O$6,2,TRUE)),VLOOKUP(M129,データ!$K$3:$O$6,3,TRUE),"")</f>
        <v>0.41666666666666669</v>
      </c>
      <c r="C129" s="1">
        <f>IF(AND(M129&gt;=VLOOKUP(M129,データ!$K$11:$O$16,1,TRUE),M129&lt;=VLOOKUP(M129,データ!$K$11:$O$16,2,TRUE)),VLOOKUP(M129,データ!$K$11:$O$16,5,TRUE),0)</f>
        <v>0</v>
      </c>
      <c r="D129" s="74" t="str">
        <f>IF(AND(M129&gt;=VLOOKUP(M129,データ!$K$11:$O$16,1,TRUE),M129&lt;=VLOOKUP(M129,データ!$K$11:$O$16,2,TRUE)),VLOOKUP(M129,データ!$K$11:$O$16,3,TRUE),"")</f>
        <v/>
      </c>
      <c r="E129" s="74">
        <f t="shared" si="115"/>
        <v>0.41666666666666669</v>
      </c>
      <c r="F129" s="75">
        <f>VLOOKUP(E129,データ!$K$20:$O$24,5,FALSE)</f>
        <v>0</v>
      </c>
      <c r="G129" s="74">
        <f>IF(AND(M129&gt;=VLOOKUP(M129,データ!$K$3:$O$6,1,TRUE),M129&lt;=VLOOKUP(M129,データ!$K$3:$O$6,2,TRUE)),VLOOKUP(M129,データ!$K$3:$O$6,4,TRUE),"")</f>
        <v>0.70833333333333337</v>
      </c>
      <c r="H129" s="256">
        <f>INDEX(データ!L$21:N$24,MATCH(配置表!E129,データ!K$21:K$24,0),MATCH(配置表!G129,データ!L$20:N$20,0))</f>
        <v>1</v>
      </c>
      <c r="I129" s="52" t="str">
        <f>IF(ISERROR(VLOOKUP(M129,データ!$A$3:$C$20,3,FALSE)),"",VLOOKUP(M129,データ!$A$3:$C$20,3,FALSE))</f>
        <v/>
      </c>
      <c r="J129" s="52" t="str">
        <f t="shared" si="116"/>
        <v/>
      </c>
      <c r="K129" s="53">
        <f t="shared" si="117"/>
        <v>0</v>
      </c>
      <c r="L129" s="28" t="str">
        <f t="shared" si="105"/>
        <v/>
      </c>
      <c r="M129" s="9">
        <f t="shared" si="118"/>
        <v>45862</v>
      </c>
      <c r="N129" s="8" t="str">
        <f t="shared" si="106"/>
        <v>木</v>
      </c>
      <c r="O129" s="62" t="str">
        <f>IF(AND(M129&gt;=VLOOKUP(M129,データ!$E$3:$G$9,1,TRUE),M129&lt;=VLOOKUP(M129,データ!$E$3:$G$9,2,TRUE)),VLOOKUP(M129,データ!$E$3:$G$9,3,TRUE),"")</f>
        <v>夏　特別展</v>
      </c>
      <c r="P129" s="67" t="str">
        <f>IF(AND(M129&gt;=VLOOKUP(M129,データ!$E$14:$G$21,1,TRUE),M129&lt;=VLOOKUP(M129,データ!$E$14:$G$21,2,TRUE)),VLOOKUP(M129,データ!$E$14:$G$21,3,TRUE),"")</f>
        <v>テーマ展</v>
      </c>
      <c r="Q129" s="44" t="str">
        <f t="shared" si="107"/>
        <v>○</v>
      </c>
      <c r="R129" s="45"/>
      <c r="S129" s="33" t="str">
        <f t="shared" si="136"/>
        <v/>
      </c>
      <c r="T129" s="45"/>
      <c r="U129" s="33" t="str">
        <f t="shared" si="122"/>
        <v>●</v>
      </c>
      <c r="V129" s="32"/>
      <c r="W129" s="33" t="str">
        <f t="shared" si="137"/>
        <v>○</v>
      </c>
      <c r="X129" s="8"/>
      <c r="Y129" s="33" t="str">
        <f t="shared" si="111"/>
        <v>○</v>
      </c>
      <c r="Z129" s="8">
        <f>IF(L129="閉","",(IF(AND(M129&gt;=VLOOKUP(M129,データ!$E$3:$G$9,1,TRUE),M129&lt;=VLOOKUP(M129,データ!$E$3:$G$9,2,TRUE)),VLOOKUP(M129,データ!$E$3:$H$9,4,TRUE),0)+IF(AND(M129&gt;=VLOOKUP(M129,データ!$E$14:$G$21,1,TRUE),M129&lt;=VLOOKUP(M129,データ!$E$14:$G$21,2,TRUE)),VLOOKUP(M129,データ!$E$14:$H$21,4,TRUE),0)))</f>
        <v>5</v>
      </c>
      <c r="AA129" s="33" t="str">
        <f t="shared" si="112"/>
        <v>○</v>
      </c>
      <c r="AB129" s="227">
        <f t="shared" si="113"/>
        <v>0.41666666666666669</v>
      </c>
      <c r="AC129" s="227">
        <f t="shared" si="114"/>
        <v>0.70833333333333337</v>
      </c>
      <c r="AD129" s="228" t="str">
        <f>IF(K129=1,IF(ISERROR(VLOOKUP(M129,データ!$A$3:$C$23,2,FALSE)),"",VLOOKUP(M129,データ!$A$3:$C$23,2,FALSE)),(IF(ISERROR(VLOOKUP(M129,データ!$A$3:$C$23,2,FALSE)),"",VLOOKUP(M129,データ!$A$3:$C$23,2,FALSE))))</f>
        <v/>
      </c>
    </row>
    <row r="130" spans="1:30">
      <c r="A130" s="1">
        <f>IF(AND(M130&gt;=VLOOKUP(M130,データ!$K$3:$O$6,1,TRUE),M130&lt;=VLOOKUP(M130,データ!$K$3:$O$6,2,TRUE)),VLOOKUP(M130,データ!$K$3:$O$6,5,TRUE),"")</f>
        <v>1</v>
      </c>
      <c r="B130" s="74">
        <f>IF(AND(M130&gt;=VLOOKUP(M130,データ!$K$3:$O$6,1,TRUE),M130&lt;=VLOOKUP(M130,データ!$K$3:$O$6,2,TRUE)),VLOOKUP(M130,データ!$K$3:$O$6,3,TRUE),"")</f>
        <v>0.41666666666666669</v>
      </c>
      <c r="C130" s="1">
        <f>IF(AND(M130&gt;=VLOOKUP(M130,データ!$K$11:$O$16,1,TRUE),M130&lt;=VLOOKUP(M130,データ!$K$11:$O$16,2,TRUE)),VLOOKUP(M130,データ!$K$11:$O$16,5,TRUE),0)</f>
        <v>0</v>
      </c>
      <c r="D130" s="74" t="str">
        <f>IF(AND(M130&gt;=VLOOKUP(M130,データ!$K$11:$O$16,1,TRUE),M130&lt;=VLOOKUP(M130,データ!$K$11:$O$16,2,TRUE)),VLOOKUP(M130,データ!$K$11:$O$16,3,TRUE),"")</f>
        <v/>
      </c>
      <c r="E130" s="74">
        <f t="shared" si="115"/>
        <v>0.41666666666666669</v>
      </c>
      <c r="F130" s="75">
        <f>VLOOKUP(E130,データ!$K$20:$O$24,5,FALSE)</f>
        <v>0</v>
      </c>
      <c r="G130" s="74">
        <f>IF(AND(M130&gt;=VLOOKUP(M130,データ!$K$3:$O$6,1,TRUE),M130&lt;=VLOOKUP(M130,データ!$K$3:$O$6,2,TRUE)),VLOOKUP(M130,データ!$K$3:$O$6,4,TRUE),"")</f>
        <v>0.70833333333333337</v>
      </c>
      <c r="H130" s="256">
        <f>INDEX(データ!L$21:N$24,MATCH(配置表!E130,データ!K$21:K$24,0),MATCH(配置表!G130,データ!L$20:N$20,0))</f>
        <v>1</v>
      </c>
      <c r="I130" s="52" t="str">
        <f>IF(ISERROR(VLOOKUP(M130,データ!$A$3:$C$20,3,FALSE)),"",VLOOKUP(M130,データ!$A$3:$C$20,3,FALSE))</f>
        <v/>
      </c>
      <c r="J130" s="52" t="str">
        <f t="shared" si="116"/>
        <v/>
      </c>
      <c r="K130" s="53">
        <f t="shared" si="117"/>
        <v>0</v>
      </c>
      <c r="L130" s="28" t="str">
        <f t="shared" si="105"/>
        <v/>
      </c>
      <c r="M130" s="9">
        <f t="shared" si="118"/>
        <v>45863</v>
      </c>
      <c r="N130" s="8" t="str">
        <f t="shared" si="106"/>
        <v>金</v>
      </c>
      <c r="O130" s="62" t="str">
        <f>IF(AND(M130&gt;=VLOOKUP(M130,データ!$E$3:$G$9,1,TRUE),M130&lt;=VLOOKUP(M130,データ!$E$3:$G$9,2,TRUE)),VLOOKUP(M130,データ!$E$3:$G$9,3,TRUE),"")</f>
        <v>夏　特別展</v>
      </c>
      <c r="P130" s="67" t="str">
        <f>IF(AND(M130&gt;=VLOOKUP(M130,データ!$E$14:$G$21,1,TRUE),M130&lt;=VLOOKUP(M130,データ!$E$14:$G$21,2,TRUE)),VLOOKUP(M130,データ!$E$14:$G$21,3,TRUE),"")</f>
        <v>テーマ展</v>
      </c>
      <c r="Q130" s="44" t="str">
        <f t="shared" si="107"/>
        <v>○</v>
      </c>
      <c r="R130" s="45"/>
      <c r="S130" s="33" t="str">
        <f t="shared" si="136"/>
        <v/>
      </c>
      <c r="T130" s="45"/>
      <c r="U130" s="33" t="str">
        <f t="shared" si="122"/>
        <v>●</v>
      </c>
      <c r="V130" s="32"/>
      <c r="W130" s="33" t="str">
        <f t="shared" si="137"/>
        <v>○</v>
      </c>
      <c r="X130" s="8"/>
      <c r="Y130" s="33" t="str">
        <f t="shared" si="111"/>
        <v>○</v>
      </c>
      <c r="Z130" s="8">
        <f>IF(L130="閉","",(IF(AND(M130&gt;=VLOOKUP(M130,データ!$E$3:$G$9,1,TRUE),M130&lt;=VLOOKUP(M130,データ!$E$3:$G$9,2,TRUE)),VLOOKUP(M130,データ!$E$3:$H$9,4,TRUE),0)+IF(AND(M130&gt;=VLOOKUP(M130,データ!$E$14:$G$21,1,TRUE),M130&lt;=VLOOKUP(M130,データ!$E$14:$G$21,2,TRUE)),VLOOKUP(M130,データ!$E$14:$H$21,4,TRUE),0)))</f>
        <v>5</v>
      </c>
      <c r="AA130" s="33" t="str">
        <f t="shared" si="112"/>
        <v>○</v>
      </c>
      <c r="AB130" s="227">
        <f t="shared" si="113"/>
        <v>0.41666666666666669</v>
      </c>
      <c r="AC130" s="227">
        <f t="shared" si="114"/>
        <v>0.70833333333333337</v>
      </c>
      <c r="AD130" s="228" t="str">
        <f>IF(K130=1,IF(ISERROR(VLOOKUP(M130,データ!$A$3:$C$23,2,FALSE)),"",VLOOKUP(M130,データ!$A$3:$C$23,2,FALSE)),(IF(ISERROR(VLOOKUP(M130,データ!$A$3:$C$23,2,FALSE)),"",VLOOKUP(M130,データ!$A$3:$C$23,2,FALSE))))</f>
        <v/>
      </c>
    </row>
    <row r="131" spans="1:30">
      <c r="A131" s="1">
        <f>IF(AND(M131&gt;=VLOOKUP(M131,データ!$K$3:$O$6,1,TRUE),M131&lt;=VLOOKUP(M131,データ!$K$3:$O$6,2,TRUE)),VLOOKUP(M131,データ!$K$3:$O$6,5,TRUE),"")</f>
        <v>1</v>
      </c>
      <c r="B131" s="74">
        <f>IF(AND(M131&gt;=VLOOKUP(M131,データ!$K$3:$O$6,1,TRUE),M131&lt;=VLOOKUP(M131,データ!$K$3:$O$6,2,TRUE)),VLOOKUP(M131,データ!$K$3:$O$6,3,TRUE),"")</f>
        <v>0.41666666666666669</v>
      </c>
      <c r="C131" s="1">
        <f>IF(AND(M131&gt;=VLOOKUP(M131,データ!$K$11:$O$16,1,TRUE),M131&lt;=VLOOKUP(M131,データ!$K$11:$O$16,2,TRUE)),VLOOKUP(M131,データ!$K$11:$O$16,5,TRUE),0)</f>
        <v>0</v>
      </c>
      <c r="D131" s="74" t="str">
        <f>IF(AND(M131&gt;=VLOOKUP(M131,データ!$K$11:$O$16,1,TRUE),M131&lt;=VLOOKUP(M131,データ!$K$11:$O$16,2,TRUE)),VLOOKUP(M131,データ!$K$11:$O$16,3,TRUE),"")</f>
        <v/>
      </c>
      <c r="E131" s="74">
        <f t="shared" si="115"/>
        <v>0.41666666666666669</v>
      </c>
      <c r="F131" s="75">
        <f>VLOOKUP(E131,データ!$K$20:$O$24,5,FALSE)</f>
        <v>0</v>
      </c>
      <c r="G131" s="74">
        <f>IF(AND(M131&gt;=VLOOKUP(M131,データ!$K$3:$O$6,1,TRUE),M131&lt;=VLOOKUP(M131,データ!$K$3:$O$6,2,TRUE)),VLOOKUP(M131,データ!$K$3:$O$6,4,TRUE),"")</f>
        <v>0.70833333333333337</v>
      </c>
      <c r="H131" s="256">
        <f>INDEX(データ!L$21:N$24,MATCH(配置表!E131,データ!K$21:K$24,0),MATCH(配置表!G131,データ!L$20:N$20,0))</f>
        <v>1</v>
      </c>
      <c r="I131" s="52" t="str">
        <f>IF(ISERROR(VLOOKUP(M131,データ!$A$3:$C$20,3,FALSE)),"",VLOOKUP(M131,データ!$A$3:$C$20,3,FALSE))</f>
        <v/>
      </c>
      <c r="J131" s="52" t="str">
        <f t="shared" si="116"/>
        <v/>
      </c>
      <c r="K131" s="53">
        <f t="shared" si="117"/>
        <v>0</v>
      </c>
      <c r="L131" s="28" t="str">
        <f t="shared" si="105"/>
        <v/>
      </c>
      <c r="M131" s="9">
        <f t="shared" si="118"/>
        <v>45864</v>
      </c>
      <c r="N131" s="8" t="str">
        <f t="shared" si="106"/>
        <v>土</v>
      </c>
      <c r="O131" s="62" t="str">
        <f>IF(AND(M131&gt;=VLOOKUP(M131,データ!$E$3:$G$9,1,TRUE),M131&lt;=VLOOKUP(M131,データ!$E$3:$G$9,2,TRUE)),VLOOKUP(M131,データ!$E$3:$G$9,3,TRUE),"")</f>
        <v>夏　特別展</v>
      </c>
      <c r="P131" s="67" t="str">
        <f>IF(AND(M131&gt;=VLOOKUP(M131,データ!$E$14:$G$21,1,TRUE),M131&lt;=VLOOKUP(M131,データ!$E$14:$G$21,2,TRUE)),VLOOKUP(M131,データ!$E$14:$G$21,3,TRUE),"")</f>
        <v>テーマ展</v>
      </c>
      <c r="Q131" s="44" t="str">
        <f t="shared" si="107"/>
        <v>○</v>
      </c>
      <c r="R131" s="45"/>
      <c r="S131" s="10" t="str">
        <f t="shared" ref="S131:S132" si="138">IF(L131="閉","休",IF(O131="","",IF(O131="冬　特別展",IF(OR(N131="土",N131="日",I131=1),"○",""),"○")))</f>
        <v>○</v>
      </c>
      <c r="T131" s="45"/>
      <c r="U131" s="33" t="str">
        <f t="shared" si="122"/>
        <v>●</v>
      </c>
      <c r="V131" s="32"/>
      <c r="W131" s="33" t="str">
        <f t="shared" ref="W131:W132" si="139">IF(L131="閉","休",IF(O131="","",IF(OR(N131="土",N131="日",I131=1),IF(OR(O131="ダミー　特別展",O131="ダミー　特別展"),"◎",IF(OR(O131="夏　特別展",O131="秋　特別展",O131="春　特別展"),"◎","")),"")))</f>
        <v>◎</v>
      </c>
      <c r="X131" s="8"/>
      <c r="Y131" s="33" t="str">
        <f t="shared" si="111"/>
        <v>○</v>
      </c>
      <c r="Z131" s="8">
        <f>IF(L131="閉","",(IF(AND(M131&gt;=VLOOKUP(M131,データ!$E$3:$G$9,1,TRUE),M131&lt;=VLOOKUP(M131,データ!$E$3:$G$9,2,TRUE)),VLOOKUP(M131,データ!$E$3:$H$9,4,TRUE),0)+IF(AND(M131&gt;=VLOOKUP(M131,データ!$E$14:$G$21,1,TRUE),M131&lt;=VLOOKUP(M131,データ!$E$14:$G$21,2,TRUE)),VLOOKUP(M131,データ!$E$14:$H$21,4,TRUE),0)))</f>
        <v>5</v>
      </c>
      <c r="AA131" s="33" t="str">
        <f t="shared" si="112"/>
        <v>○</v>
      </c>
      <c r="AB131" s="227">
        <f t="shared" si="113"/>
        <v>0.41666666666666669</v>
      </c>
      <c r="AC131" s="227">
        <f t="shared" si="114"/>
        <v>0.70833333333333337</v>
      </c>
      <c r="AD131" s="228" t="str">
        <f>IF(K131=1,IF(ISERROR(VLOOKUP(M131,データ!$A$3:$C$23,2,FALSE)),"",VLOOKUP(M131,データ!$A$3:$C$23,2,FALSE)),(IF(ISERROR(VLOOKUP(M131,データ!$A$3:$C$23,2,FALSE)),"",VLOOKUP(M131,データ!$A$3:$C$23,2,FALSE))))</f>
        <v/>
      </c>
    </row>
    <row r="132" spans="1:30">
      <c r="A132" s="1">
        <f>IF(AND(M132&gt;=VLOOKUP(M132,データ!$K$3:$O$6,1,TRUE),M132&lt;=VLOOKUP(M132,データ!$K$3:$O$6,2,TRUE)),VLOOKUP(M132,データ!$K$3:$O$6,5,TRUE),"")</f>
        <v>1</v>
      </c>
      <c r="B132" s="74">
        <f>IF(AND(M132&gt;=VLOOKUP(M132,データ!$K$3:$O$6,1,TRUE),M132&lt;=VLOOKUP(M132,データ!$K$3:$O$6,2,TRUE)),VLOOKUP(M132,データ!$K$3:$O$6,3,TRUE),"")</f>
        <v>0.41666666666666669</v>
      </c>
      <c r="C132" s="1">
        <f>IF(AND(M132&gt;=VLOOKUP(M132,データ!$K$11:$O$16,1,TRUE),M132&lt;=VLOOKUP(M132,データ!$K$11:$O$16,2,TRUE)),VLOOKUP(M132,データ!$K$11:$O$16,5,TRUE),0)</f>
        <v>0</v>
      </c>
      <c r="D132" s="74" t="str">
        <f>IF(AND(M132&gt;=VLOOKUP(M132,データ!$K$11:$O$16,1,TRUE),M132&lt;=VLOOKUP(M132,データ!$K$11:$O$16,2,TRUE)),VLOOKUP(M132,データ!$K$11:$O$16,3,TRUE),"")</f>
        <v/>
      </c>
      <c r="E132" s="74">
        <f t="shared" si="115"/>
        <v>0.41666666666666669</v>
      </c>
      <c r="F132" s="75">
        <f>VLOOKUP(E132,データ!$K$20:$O$24,5,FALSE)</f>
        <v>0</v>
      </c>
      <c r="G132" s="74">
        <f>IF(AND(M132&gt;=VLOOKUP(M132,データ!$K$3:$O$6,1,TRUE),M132&lt;=VLOOKUP(M132,データ!$K$3:$O$6,2,TRUE)),VLOOKUP(M132,データ!$K$3:$O$6,4,TRUE),"")</f>
        <v>0.70833333333333337</v>
      </c>
      <c r="H132" s="256">
        <f>INDEX(データ!L$21:N$24,MATCH(配置表!E132,データ!K$21:K$24,0),MATCH(配置表!G132,データ!L$20:N$20,0))</f>
        <v>1</v>
      </c>
      <c r="I132" s="52" t="str">
        <f>IF(ISERROR(VLOOKUP(M132,データ!$A$3:$C$20,3,FALSE)),"",VLOOKUP(M132,データ!$A$3:$C$20,3,FALSE))</f>
        <v/>
      </c>
      <c r="J132" s="52" t="str">
        <f t="shared" si="116"/>
        <v/>
      </c>
      <c r="K132" s="53">
        <f t="shared" si="117"/>
        <v>0</v>
      </c>
      <c r="L132" s="28" t="str">
        <f t="shared" si="105"/>
        <v/>
      </c>
      <c r="M132" s="9">
        <f t="shared" si="118"/>
        <v>45865</v>
      </c>
      <c r="N132" s="8" t="str">
        <f t="shared" si="106"/>
        <v>日</v>
      </c>
      <c r="O132" s="62" t="str">
        <f>IF(AND(M132&gt;=VLOOKUP(M132,データ!$E$3:$G$9,1,TRUE),M132&lt;=VLOOKUP(M132,データ!$E$3:$G$9,2,TRUE)),VLOOKUP(M132,データ!$E$3:$G$9,3,TRUE),"")</f>
        <v>夏　特別展</v>
      </c>
      <c r="P132" s="67" t="str">
        <f>IF(AND(M132&gt;=VLOOKUP(M132,データ!$E$14:$G$21,1,TRUE),M132&lt;=VLOOKUP(M132,データ!$E$14:$G$21,2,TRUE)),VLOOKUP(M132,データ!$E$14:$G$21,3,TRUE),"")</f>
        <v>テーマ展</v>
      </c>
      <c r="Q132" s="44" t="str">
        <f t="shared" si="107"/>
        <v>○</v>
      </c>
      <c r="R132" s="45"/>
      <c r="S132" s="10" t="str">
        <f t="shared" si="138"/>
        <v>○</v>
      </c>
      <c r="T132" s="45"/>
      <c r="U132" s="33" t="str">
        <f t="shared" si="122"/>
        <v>●</v>
      </c>
      <c r="V132" s="32"/>
      <c r="W132" s="33" t="str">
        <f t="shared" si="139"/>
        <v>◎</v>
      </c>
      <c r="X132" s="8"/>
      <c r="Y132" s="33" t="str">
        <f t="shared" si="111"/>
        <v>○</v>
      </c>
      <c r="Z132" s="32">
        <f>IF(L132="閉","",(IF(AND(M132&gt;=VLOOKUP(M132,データ!$E$3:$G$9,1,TRUE),M132&lt;=VLOOKUP(M132,データ!$E$3:$G$9,2,TRUE)),VLOOKUP(M132,データ!$E$3:$H$9,4,TRUE),0)+IF(AND(M132&gt;=VLOOKUP(M132,データ!$E$14:$G$21,1,TRUE),M132&lt;=VLOOKUP(M132,データ!$E$14:$G$21,2,TRUE)),VLOOKUP(M132,データ!$E$14:$H$21,4,TRUE),0)))</f>
        <v>5</v>
      </c>
      <c r="AA132" s="33" t="str">
        <f t="shared" si="112"/>
        <v>○</v>
      </c>
      <c r="AB132" s="227">
        <f t="shared" si="113"/>
        <v>0.41666666666666669</v>
      </c>
      <c r="AC132" s="227">
        <f t="shared" si="114"/>
        <v>0.70833333333333337</v>
      </c>
      <c r="AD132" s="228" t="str">
        <f>IF(K132=1,IF(ISERROR(VLOOKUP(M132,データ!$A$3:$C$23,2,FALSE)),"",VLOOKUP(M132,データ!$A$3:$C$23,2,FALSE)),(IF(ISERROR(VLOOKUP(M132,データ!$A$3:$C$23,2,FALSE)),"",VLOOKUP(M132,データ!$A$3:$C$23,2,FALSE))))</f>
        <v/>
      </c>
    </row>
    <row r="133" spans="1:30">
      <c r="A133" s="1">
        <f>IF(AND(M133&gt;=VLOOKUP(M133,データ!$K$3:$O$6,1,TRUE),M133&lt;=VLOOKUP(M133,データ!$K$3:$O$6,2,TRUE)),VLOOKUP(M133,データ!$K$3:$O$6,5,TRUE),"")</f>
        <v>1</v>
      </c>
      <c r="B133" s="74">
        <f>IF(AND(M133&gt;=VLOOKUP(M133,データ!$K$3:$O$6,1,TRUE),M133&lt;=VLOOKUP(M133,データ!$K$3:$O$6,2,TRUE)),VLOOKUP(M133,データ!$K$3:$O$6,3,TRUE),"")</f>
        <v>0.41666666666666669</v>
      </c>
      <c r="C133" s="1">
        <f>IF(AND(M133&gt;=VLOOKUP(M133,データ!$K$11:$O$16,1,TRUE),M133&lt;=VLOOKUP(M133,データ!$K$11:$O$16,2,TRUE)),VLOOKUP(M133,データ!$K$11:$O$16,5,TRUE),0)</f>
        <v>0</v>
      </c>
      <c r="D133" s="74" t="str">
        <f>IF(AND(M133&gt;=VLOOKUP(M133,データ!$K$11:$O$16,1,TRUE),M133&lt;=VLOOKUP(M133,データ!$K$11:$O$16,2,TRUE)),VLOOKUP(M133,データ!$K$11:$O$16,3,TRUE),"")</f>
        <v/>
      </c>
      <c r="E133" s="74">
        <f t="shared" si="115"/>
        <v>0.41666666666666669</v>
      </c>
      <c r="F133" s="75">
        <f>VLOOKUP(E133,データ!$K$20:$O$24,5,FALSE)</f>
        <v>0</v>
      </c>
      <c r="G133" s="74">
        <f>IF(AND(M133&gt;=VLOOKUP(M133,データ!$K$3:$O$6,1,TRUE),M133&lt;=VLOOKUP(M133,データ!$K$3:$O$6,2,TRUE)),VLOOKUP(M133,データ!$K$3:$O$6,4,TRUE),"")</f>
        <v>0.70833333333333337</v>
      </c>
      <c r="H133" s="256">
        <f>INDEX(データ!L$21:N$24,MATCH(配置表!E133,データ!K$21:K$24,0),MATCH(配置表!G133,データ!L$20:N$20,0))</f>
        <v>1</v>
      </c>
      <c r="I133" s="52" t="str">
        <f>IF(ISERROR(VLOOKUP(M133,データ!$A$3:$C$20,3,FALSE)),"",VLOOKUP(M133,データ!$A$3:$C$20,3,FALSE))</f>
        <v/>
      </c>
      <c r="J133" s="52">
        <f t="shared" si="116"/>
        <v>1</v>
      </c>
      <c r="K133" s="53">
        <f t="shared" si="117"/>
        <v>1</v>
      </c>
      <c r="L133" s="28" t="str">
        <f t="shared" si="105"/>
        <v>閉</v>
      </c>
      <c r="M133" s="9">
        <f t="shared" si="118"/>
        <v>45866</v>
      </c>
      <c r="N133" s="8" t="str">
        <f t="shared" si="106"/>
        <v>月</v>
      </c>
      <c r="O133" s="62" t="str">
        <f>IF(AND(M133&gt;=VLOOKUP(M133,データ!$E$3:$G$9,1,TRUE),M133&lt;=VLOOKUP(M133,データ!$E$3:$G$9,2,TRUE)),VLOOKUP(M133,データ!$E$3:$G$9,3,TRUE),"")</f>
        <v>夏　特別展</v>
      </c>
      <c r="P133" s="67" t="str">
        <f>IF(AND(M133&gt;=VLOOKUP(M133,データ!$E$14:$G$21,1,TRUE),M133&lt;=VLOOKUP(M133,データ!$E$14:$G$21,2,TRUE)),VLOOKUP(M133,データ!$E$14:$G$21,3,TRUE),"")</f>
        <v>テーマ展</v>
      </c>
      <c r="Q133" s="44" t="str">
        <f t="shared" si="107"/>
        <v>休</v>
      </c>
      <c r="R133" s="8"/>
      <c r="S133" s="10" t="str">
        <f t="shared" si="121"/>
        <v>休</v>
      </c>
      <c r="T133" s="45"/>
      <c r="U133" s="33" t="str">
        <f t="shared" si="122"/>
        <v>休</v>
      </c>
      <c r="V133" s="8"/>
      <c r="W133" s="33" t="str">
        <f t="shared" si="123"/>
        <v>休</v>
      </c>
      <c r="X133" s="8"/>
      <c r="Y133" s="33" t="str">
        <f t="shared" si="111"/>
        <v>休</v>
      </c>
      <c r="Z133" s="8" t="str">
        <f>IF(L133="閉","",(IF(AND(M133&gt;=VLOOKUP(M133,データ!$E$3:$G$9,1,TRUE),M133&lt;=VLOOKUP(M133,データ!$E$3:$G$9,2,TRUE)),VLOOKUP(M133,データ!$E$3:$H$9,4,TRUE),0)+IF(AND(M133&gt;=VLOOKUP(M133,データ!$E$14:$G$21,1,TRUE),M133&lt;=VLOOKUP(M133,データ!$E$14:$G$21,2,TRUE)),VLOOKUP(M133,データ!$E$14:$H$21,4,TRUE),0)))</f>
        <v/>
      </c>
      <c r="AA133" s="33" t="str">
        <f t="shared" si="112"/>
        <v>休</v>
      </c>
      <c r="AB133" s="227" t="str">
        <f t="shared" si="113"/>
        <v/>
      </c>
      <c r="AC133" s="227" t="str">
        <f t="shared" si="114"/>
        <v/>
      </c>
      <c r="AD133" s="228" t="str">
        <f>IF(K133=1,IF(ISERROR(VLOOKUP(M133,データ!$A$3:$C$23,2,FALSE)),"",VLOOKUP(M133,データ!$A$3:$C$23,2,FALSE)),(IF(ISERROR(VLOOKUP(M133,データ!$A$3:$C$23,2,FALSE)),"",VLOOKUP(M133,データ!$A$3:$C$23,2,FALSE))))</f>
        <v/>
      </c>
    </row>
    <row r="134" spans="1:30">
      <c r="A134" s="1">
        <f>IF(AND(M134&gt;=VLOOKUP(M134,データ!$K$3:$O$6,1,TRUE),M134&lt;=VLOOKUP(M134,データ!$K$3:$O$6,2,TRUE)),VLOOKUP(M134,データ!$K$3:$O$6,5,TRUE),"")</f>
        <v>1</v>
      </c>
      <c r="B134" s="74">
        <f>IF(AND(M134&gt;=VLOOKUP(M134,データ!$K$3:$O$6,1,TRUE),M134&lt;=VLOOKUP(M134,データ!$K$3:$O$6,2,TRUE)),VLOOKUP(M134,データ!$K$3:$O$6,3,TRUE),"")</f>
        <v>0.41666666666666669</v>
      </c>
      <c r="C134" s="1">
        <f>IF(AND(M134&gt;=VLOOKUP(M134,データ!$K$11:$O$16,1,TRUE),M134&lt;=VLOOKUP(M134,データ!$K$11:$O$16,2,TRUE)),VLOOKUP(M134,データ!$K$11:$O$16,5,TRUE),0)</f>
        <v>0</v>
      </c>
      <c r="D134" s="74" t="str">
        <f>IF(AND(M134&gt;=VLOOKUP(M134,データ!$K$11:$O$16,1,TRUE),M134&lt;=VLOOKUP(M134,データ!$K$11:$O$16,2,TRUE)),VLOOKUP(M134,データ!$K$11:$O$16,3,TRUE),"")</f>
        <v/>
      </c>
      <c r="E134" s="74">
        <f t="shared" si="115"/>
        <v>0.41666666666666669</v>
      </c>
      <c r="F134" s="75">
        <f>VLOOKUP(E134,データ!$K$20:$O$24,5,FALSE)</f>
        <v>0</v>
      </c>
      <c r="G134" s="74">
        <f>IF(AND(M134&gt;=VLOOKUP(M134,データ!$K$3:$O$6,1,TRUE),M134&lt;=VLOOKUP(M134,データ!$K$3:$O$6,2,TRUE)),VLOOKUP(M134,データ!$K$3:$O$6,4,TRUE),"")</f>
        <v>0.70833333333333337</v>
      </c>
      <c r="H134" s="256">
        <f>INDEX(データ!L$21:N$24,MATCH(配置表!E134,データ!K$21:K$24,0),MATCH(配置表!G134,データ!L$20:N$20,0))</f>
        <v>1</v>
      </c>
      <c r="I134" s="52" t="str">
        <f>IF(ISERROR(VLOOKUP(M134,データ!$A$3:$C$20,3,FALSE)),"",VLOOKUP(M134,データ!$A$3:$C$20,3,FALSE))</f>
        <v/>
      </c>
      <c r="J134" s="52" t="str">
        <f t="shared" si="116"/>
        <v/>
      </c>
      <c r="K134" s="53">
        <f t="shared" si="117"/>
        <v>0</v>
      </c>
      <c r="L134" s="28" t="str">
        <f t="shared" si="105"/>
        <v/>
      </c>
      <c r="M134" s="9">
        <f t="shared" si="118"/>
        <v>45867</v>
      </c>
      <c r="N134" s="8" t="str">
        <f t="shared" si="106"/>
        <v>火</v>
      </c>
      <c r="O134" s="62" t="str">
        <f>IF(AND(M134&gt;=VLOOKUP(M134,データ!$E$3:$G$9,1,TRUE),M134&lt;=VLOOKUP(M134,データ!$E$3:$G$9,2,TRUE)),VLOOKUP(M134,データ!$E$3:$G$9,3,TRUE),"")</f>
        <v>夏　特別展</v>
      </c>
      <c r="P134" s="67" t="str">
        <f>IF(AND(M134&gt;=VLOOKUP(M134,データ!$E$14:$G$21,1,TRUE),M134&lt;=VLOOKUP(M134,データ!$E$14:$G$21,2,TRUE)),VLOOKUP(M134,データ!$E$14:$G$21,3,TRUE),"")</f>
        <v>テーマ展</v>
      </c>
      <c r="Q134" s="44" t="str">
        <f t="shared" si="107"/>
        <v>○</v>
      </c>
      <c r="R134" s="45"/>
      <c r="S134" s="33" t="str">
        <f t="shared" ref="S134:S136" si="140">IF(H134="閉","休",IF(K134="","",IF(OR(J134="土",J134="日",E134=1),IF(OR(K134="ダミー　特別展",K134="ダミー　特別展"),"◎",IF(OR(K134="夏　特別展",K134="秋　特別展",K134="春　特別展"),"○","")),"")))</f>
        <v/>
      </c>
      <c r="T134" s="45"/>
      <c r="U134" s="33" t="str">
        <f t="shared" ref="U134:U136" si="141">IF(L134="閉","休",IF(S134="","●","●"))</f>
        <v>●</v>
      </c>
      <c r="V134" s="32"/>
      <c r="W134" s="33" t="str">
        <f t="shared" ref="W134:W136" si="142">IF(P134="閉","休",IF(O134="","",IF(O134="冬　特別展",IF(OR(N134="土",N134="日",M134=1),"○",""),"○")))</f>
        <v>○</v>
      </c>
      <c r="X134" s="8"/>
      <c r="Y134" s="33" t="str">
        <f t="shared" si="111"/>
        <v>○</v>
      </c>
      <c r="Z134" s="8">
        <f>IF(L134="閉","",(IF(AND(M134&gt;=VLOOKUP(M134,データ!$E$3:$G$9,1,TRUE),M134&lt;=VLOOKUP(M134,データ!$E$3:$G$9,2,TRUE)),VLOOKUP(M134,データ!$E$3:$H$9,4,TRUE),0)+IF(AND(M134&gt;=VLOOKUP(M134,データ!$E$14:$G$21,1,TRUE),M134&lt;=VLOOKUP(M134,データ!$E$14:$G$21,2,TRUE)),VLOOKUP(M134,データ!$E$14:$H$21,4,TRUE),0)))</f>
        <v>5</v>
      </c>
      <c r="AA134" s="33" t="str">
        <f t="shared" si="112"/>
        <v>○</v>
      </c>
      <c r="AB134" s="227">
        <f t="shared" si="113"/>
        <v>0.41666666666666669</v>
      </c>
      <c r="AC134" s="227">
        <f t="shared" si="114"/>
        <v>0.70833333333333337</v>
      </c>
      <c r="AD134" s="228" t="str">
        <f>IF(K134=1,IF(ISERROR(VLOOKUP(M134,データ!$A$3:$C$23,2,FALSE)),"",VLOOKUP(M134,データ!$A$3:$C$23,2,FALSE)),(IF(ISERROR(VLOOKUP(M134,データ!$A$3:$C$23,2,FALSE)),"",VLOOKUP(M134,データ!$A$3:$C$23,2,FALSE))))</f>
        <v/>
      </c>
    </row>
    <row r="135" spans="1:30">
      <c r="A135" s="1">
        <f>IF(AND(M135&gt;=VLOOKUP(M135,データ!$K$3:$O$6,1,TRUE),M135&lt;=VLOOKUP(M135,データ!$K$3:$O$6,2,TRUE)),VLOOKUP(M135,データ!$K$3:$O$6,5,TRUE),"")</f>
        <v>1</v>
      </c>
      <c r="B135" s="74">
        <f>IF(AND(M135&gt;=VLOOKUP(M135,データ!$K$3:$O$6,1,TRUE),M135&lt;=VLOOKUP(M135,データ!$K$3:$O$6,2,TRUE)),VLOOKUP(M135,データ!$K$3:$O$6,3,TRUE),"")</f>
        <v>0.41666666666666669</v>
      </c>
      <c r="C135" s="1">
        <f>IF(AND(M135&gt;=VLOOKUP(M135,データ!$K$11:$O$16,1,TRUE),M135&lt;=VLOOKUP(M135,データ!$K$11:$O$16,2,TRUE)),VLOOKUP(M135,データ!$K$11:$O$16,5,TRUE),0)</f>
        <v>0</v>
      </c>
      <c r="D135" s="74" t="str">
        <f>IF(AND(M135&gt;=VLOOKUP(M135,データ!$K$11:$O$16,1,TRUE),M135&lt;=VLOOKUP(M135,データ!$K$11:$O$16,2,TRUE)),VLOOKUP(M135,データ!$K$11:$O$16,3,TRUE),"")</f>
        <v/>
      </c>
      <c r="E135" s="74">
        <f t="shared" si="115"/>
        <v>0.41666666666666669</v>
      </c>
      <c r="F135" s="75">
        <f>VLOOKUP(E135,データ!$K$20:$O$24,5,FALSE)</f>
        <v>0</v>
      </c>
      <c r="G135" s="74">
        <f>IF(AND(M135&gt;=VLOOKUP(M135,データ!$K$3:$O$6,1,TRUE),M135&lt;=VLOOKUP(M135,データ!$K$3:$O$6,2,TRUE)),VLOOKUP(M135,データ!$K$3:$O$6,4,TRUE),"")</f>
        <v>0.70833333333333337</v>
      </c>
      <c r="H135" s="256">
        <f>INDEX(データ!L$21:N$24,MATCH(配置表!E135,データ!K$21:K$24,0),MATCH(配置表!G135,データ!L$20:N$20,0))</f>
        <v>1</v>
      </c>
      <c r="I135" s="52" t="str">
        <f>IF(ISERROR(VLOOKUP(M135,データ!$A$3:$C$20,3,FALSE)),"",VLOOKUP(M135,データ!$A$3:$C$20,3,FALSE))</f>
        <v/>
      </c>
      <c r="J135" s="52" t="str">
        <f t="shared" si="116"/>
        <v/>
      </c>
      <c r="K135" s="53">
        <f t="shared" si="117"/>
        <v>0</v>
      </c>
      <c r="L135" s="28" t="str">
        <f t="shared" si="105"/>
        <v/>
      </c>
      <c r="M135" s="9">
        <f t="shared" si="118"/>
        <v>45868</v>
      </c>
      <c r="N135" s="8" t="str">
        <f t="shared" si="106"/>
        <v>水</v>
      </c>
      <c r="O135" s="62" t="str">
        <f>IF(AND(M135&gt;=VLOOKUP(M135,データ!$E$3:$G$9,1,TRUE),M135&lt;=VLOOKUP(M135,データ!$E$3:$G$9,2,TRUE)),VLOOKUP(M135,データ!$E$3:$G$9,3,TRUE),"")</f>
        <v>夏　特別展</v>
      </c>
      <c r="P135" s="67" t="str">
        <f>IF(AND(M135&gt;=VLOOKUP(M135,データ!$E$14:$G$21,1,TRUE),M135&lt;=VLOOKUP(M135,データ!$E$14:$G$21,2,TRUE)),VLOOKUP(M135,データ!$E$14:$G$21,3,TRUE),"")</f>
        <v>テーマ展</v>
      </c>
      <c r="Q135" s="44" t="str">
        <f t="shared" si="107"/>
        <v>○</v>
      </c>
      <c r="R135" s="45"/>
      <c r="S135" s="33" t="str">
        <f t="shared" si="140"/>
        <v/>
      </c>
      <c r="T135" s="45"/>
      <c r="U135" s="33" t="str">
        <f t="shared" si="141"/>
        <v>●</v>
      </c>
      <c r="V135" s="32"/>
      <c r="W135" s="33" t="str">
        <f t="shared" si="142"/>
        <v>○</v>
      </c>
      <c r="X135" s="8"/>
      <c r="Y135" s="33" t="str">
        <f t="shared" si="111"/>
        <v>○</v>
      </c>
      <c r="Z135" s="8">
        <f>IF(L135="閉","",(IF(AND(M135&gt;=VLOOKUP(M135,データ!$E$3:$G$9,1,TRUE),M135&lt;=VLOOKUP(M135,データ!$E$3:$G$9,2,TRUE)),VLOOKUP(M135,データ!$E$3:$H$9,4,TRUE),0)+IF(AND(M135&gt;=VLOOKUP(M135,データ!$E$14:$G$21,1,TRUE),M135&lt;=VLOOKUP(M135,データ!$E$14:$G$21,2,TRUE)),VLOOKUP(M135,データ!$E$14:$H$21,4,TRUE),0)))</f>
        <v>5</v>
      </c>
      <c r="AA135" s="33" t="str">
        <f t="shared" si="112"/>
        <v>○</v>
      </c>
      <c r="AB135" s="227">
        <f t="shared" si="113"/>
        <v>0.41666666666666669</v>
      </c>
      <c r="AC135" s="227">
        <f t="shared" si="114"/>
        <v>0.70833333333333337</v>
      </c>
      <c r="AD135" s="228" t="str">
        <f>IF(K135=1,IF(ISERROR(VLOOKUP(M135,データ!$A$3:$C$23,2,FALSE)),"",VLOOKUP(M135,データ!$A$3:$C$23,2,FALSE)),(IF(ISERROR(VLOOKUP(M135,データ!$A$3:$C$23,2,FALSE)),"",VLOOKUP(M135,データ!$A$3:$C$23,2,FALSE))))</f>
        <v/>
      </c>
    </row>
    <row r="136" spans="1:30" ht="12" thickBot="1">
      <c r="A136" s="1">
        <f>IF(AND(M136&gt;=VLOOKUP(M136,データ!$K$3:$O$6,1,TRUE),M136&lt;=VLOOKUP(M136,データ!$K$3:$O$6,2,TRUE)),VLOOKUP(M136,データ!$K$3:$O$6,5,TRUE),"")</f>
        <v>1</v>
      </c>
      <c r="B136" s="74">
        <f>IF(AND(M136&gt;=VLOOKUP(M136,データ!$K$3:$O$6,1,TRUE),M136&lt;=VLOOKUP(M136,データ!$K$3:$O$6,2,TRUE)),VLOOKUP(M136,データ!$K$3:$O$6,3,TRUE),"")</f>
        <v>0.41666666666666669</v>
      </c>
      <c r="C136" s="1">
        <f>IF(AND(M136&gt;=VLOOKUP(M136,データ!$K$11:$O$16,1,TRUE),M136&lt;=VLOOKUP(M136,データ!$K$11:$O$16,2,TRUE)),VLOOKUP(M136,データ!$K$11:$O$16,5,TRUE),0)</f>
        <v>0</v>
      </c>
      <c r="D136" s="74" t="str">
        <f>IF(AND(M136&gt;=VLOOKUP(M136,データ!$K$11:$O$16,1,TRUE),M136&lt;=VLOOKUP(M136,データ!$K$11:$O$16,2,TRUE)),VLOOKUP(M136,データ!$K$11:$O$16,3,TRUE),"")</f>
        <v/>
      </c>
      <c r="E136" s="74">
        <f t="shared" si="115"/>
        <v>0.41666666666666669</v>
      </c>
      <c r="F136" s="75">
        <f>VLOOKUP(E136,データ!$K$20:$O$24,5,FALSE)</f>
        <v>0</v>
      </c>
      <c r="G136" s="74">
        <f>IF(AND(M136&gt;=VLOOKUP(M136,データ!$K$3:$O$6,1,TRUE),M136&lt;=VLOOKUP(M136,データ!$K$3:$O$6,2,TRUE)),VLOOKUP(M136,データ!$K$3:$O$6,4,TRUE),"")</f>
        <v>0.70833333333333337</v>
      </c>
      <c r="H136" s="256">
        <f>INDEX(データ!L$21:N$24,MATCH(配置表!E136,データ!K$21:K$24,0),MATCH(配置表!G136,データ!L$20:N$20,0))</f>
        <v>1</v>
      </c>
      <c r="I136" s="52" t="str">
        <f>IF(ISERROR(VLOOKUP(M136,データ!$A$3:$C$20,3,FALSE)),"",VLOOKUP(M136,データ!$A$3:$C$20,3,FALSE))</f>
        <v/>
      </c>
      <c r="J136" s="52" t="str">
        <f t="shared" si="116"/>
        <v/>
      </c>
      <c r="K136" s="53">
        <f t="shared" si="117"/>
        <v>0</v>
      </c>
      <c r="L136" s="28" t="str">
        <f t="shared" si="105"/>
        <v/>
      </c>
      <c r="M136" s="29">
        <f t="shared" si="118"/>
        <v>45869</v>
      </c>
      <c r="N136" s="27" t="str">
        <f t="shared" si="106"/>
        <v>木</v>
      </c>
      <c r="O136" s="64" t="str">
        <f>IF(AND(M136&gt;=VLOOKUP(M136,データ!$E$3:$G$9,1,TRUE),M136&lt;=VLOOKUP(M136,データ!$E$3:$G$9,2,TRUE)),VLOOKUP(M136,データ!$E$3:$G$9,3,TRUE),"")</f>
        <v>夏　特別展</v>
      </c>
      <c r="P136" s="68" t="str">
        <f>IF(AND(M136&gt;=VLOOKUP(M136,データ!$E$14:$G$21,1,TRUE),M136&lt;=VLOOKUP(M136,データ!$E$14:$G$21,2,TRUE)),VLOOKUP(M136,データ!$E$14:$G$21,3,TRUE),"")</f>
        <v>テーマ展</v>
      </c>
      <c r="Q136" s="40" t="str">
        <f t="shared" si="107"/>
        <v>○</v>
      </c>
      <c r="R136" s="41"/>
      <c r="S136" s="34" t="str">
        <f t="shared" si="140"/>
        <v/>
      </c>
      <c r="T136" s="41"/>
      <c r="U136" s="34" t="str">
        <f t="shared" si="141"/>
        <v>●</v>
      </c>
      <c r="V136" s="23"/>
      <c r="W136" s="34" t="str">
        <f t="shared" si="142"/>
        <v>○</v>
      </c>
      <c r="X136" s="27"/>
      <c r="Y136" s="34" t="str">
        <f t="shared" si="111"/>
        <v>○</v>
      </c>
      <c r="Z136" s="27">
        <f>IF(L136="閉","",(IF(AND(M136&gt;=VLOOKUP(M136,データ!$E$3:$G$9,1,TRUE),M136&lt;=VLOOKUP(M136,データ!$E$3:$G$9,2,TRUE)),VLOOKUP(M136,データ!$E$3:$H$9,4,TRUE),0)+IF(AND(M136&gt;=VLOOKUP(M136,データ!$E$14:$G$21,1,TRUE),M136&lt;=VLOOKUP(M136,データ!$E$14:$G$21,2,TRUE)),VLOOKUP(M136,データ!$E$14:$H$21,4,TRUE),0)))</f>
        <v>5</v>
      </c>
      <c r="AA136" s="34" t="str">
        <f t="shared" si="112"/>
        <v>○</v>
      </c>
      <c r="AB136" s="233">
        <f t="shared" si="113"/>
        <v>0.41666666666666669</v>
      </c>
      <c r="AC136" s="233">
        <f t="shared" si="114"/>
        <v>0.70833333333333337</v>
      </c>
      <c r="AD136" s="231" t="str">
        <f>IF(K136=1,IF(ISERROR(VLOOKUP(M136,データ!$A$3:$C$23,2,FALSE)),"",VLOOKUP(M136,データ!$A$3:$C$23,2,FALSE)),(IF(ISERROR(VLOOKUP(M136,データ!$A$3:$C$23,2,FALSE)),"",VLOOKUP(M136,データ!$A$3:$C$23,2,FALSE))))</f>
        <v/>
      </c>
    </row>
    <row r="137" spans="1:30" ht="12" thickBot="1">
      <c r="H137" s="256"/>
      <c r="I137" s="52"/>
      <c r="J137" s="52"/>
      <c r="K137" s="53"/>
      <c r="L137" s="28" t="str">
        <f t="shared" ref="L137:L171" si="143">IF(K137=1,"閉","")</f>
        <v/>
      </c>
      <c r="M137" s="7"/>
      <c r="N137" s="8"/>
      <c r="O137" s="11"/>
      <c r="P137" s="8"/>
      <c r="Q137" s="10"/>
      <c r="R137" s="10"/>
      <c r="S137" s="10"/>
      <c r="T137" s="10"/>
      <c r="U137" s="10"/>
      <c r="V137" s="8"/>
      <c r="W137" s="10"/>
      <c r="X137" s="8"/>
      <c r="Y137" s="10"/>
      <c r="Z137" s="8"/>
      <c r="AA137" s="10"/>
      <c r="AB137" s="223" t="str">
        <f>IF(ISERROR(VLOOKUP(M137,データ!$A$3:$C$23,2,FALSE)),"",VLOOKUP(M137,データ!$A$3:$C$23,2,FALSE))</f>
        <v/>
      </c>
      <c r="AC137" s="2"/>
    </row>
    <row r="138" spans="1:30" customFormat="1" ht="27.75" customHeight="1" thickBot="1">
      <c r="H138" s="257"/>
      <c r="I138" s="52"/>
      <c r="J138" s="52"/>
      <c r="K138" s="53"/>
      <c r="L138" s="28" t="str">
        <f t="shared" si="143"/>
        <v/>
      </c>
      <c r="M138" s="58"/>
      <c r="N138" s="59"/>
      <c r="O138" s="42" t="s">
        <v>5</v>
      </c>
      <c r="P138" s="60" t="s">
        <v>6</v>
      </c>
      <c r="Q138" s="49" t="s">
        <v>8</v>
      </c>
      <c r="R138" s="354" t="s">
        <v>13</v>
      </c>
      <c r="S138" s="355"/>
      <c r="T138" s="354" t="s">
        <v>14</v>
      </c>
      <c r="U138" s="355"/>
      <c r="V138" s="354" t="s">
        <v>9</v>
      </c>
      <c r="W138" s="355"/>
      <c r="X138" s="354" t="s">
        <v>10</v>
      </c>
      <c r="Y138" s="355"/>
      <c r="Z138" s="354" t="s">
        <v>1</v>
      </c>
      <c r="AA138" s="355"/>
      <c r="AB138" s="38" t="s">
        <v>114</v>
      </c>
      <c r="AC138" s="38" t="s">
        <v>35</v>
      </c>
      <c r="AD138" s="38" t="s">
        <v>116</v>
      </c>
    </row>
    <row r="139" spans="1:30">
      <c r="A139" s="1">
        <f>IF(AND(M139&gt;=VLOOKUP(M139,データ!$K$3:$O$6,1,TRUE),M139&lt;=VLOOKUP(M139,データ!$K$3:$O$6,2,TRUE)),VLOOKUP(M139,データ!$K$3:$O$6,5,TRUE),"")</f>
        <v>1</v>
      </c>
      <c r="B139" s="74">
        <f>IF(AND(M139&gt;=VLOOKUP(M139,データ!$K$3:$O$6,1,TRUE),M139&lt;=VLOOKUP(M139,データ!$K$3:$O$6,2,TRUE)),VLOOKUP(M139,データ!$K$3:$O$6,3,TRUE),"")</f>
        <v>0.41666666666666669</v>
      </c>
      <c r="C139" s="1">
        <f>IF(AND(M139&gt;=VLOOKUP(M139,データ!$K$11:$O$16,1,TRUE),M139&lt;=VLOOKUP(M139,データ!$K$11:$O$16,2,TRUE)),VLOOKUP(M139,データ!$K$11:$O$16,5,TRUE),0)</f>
        <v>0</v>
      </c>
      <c r="D139" s="74" t="str">
        <f>IF(AND(M139&gt;=VLOOKUP(M139,データ!$K$11:$O$16,1,TRUE),M139&lt;=VLOOKUP(M139,データ!$K$11:$O$16,2,TRUE)),VLOOKUP(M139,データ!$K$11:$O$16,3,TRUE),"")</f>
        <v/>
      </c>
      <c r="E139" s="74">
        <f t="shared" ref="E139:E169" si="144">IF(C139=2,IF(OR(N139="土",N139="日"),D139,B139),IF(C139=1,D139,B139))</f>
        <v>0.41666666666666669</v>
      </c>
      <c r="F139" s="75">
        <f>VLOOKUP(E139,データ!$K$20:$O$24,5,FALSE)</f>
        <v>0</v>
      </c>
      <c r="G139" s="74">
        <f>IF(AND(M139&gt;=VLOOKUP(M139,データ!$K$3:$O$6,1,TRUE),M139&lt;=VLOOKUP(M139,データ!$K$3:$O$6,2,TRUE)),VLOOKUP(M139,データ!$K$3:$O$6,4,TRUE),"")</f>
        <v>0.70833333333333337</v>
      </c>
      <c r="H139" s="256">
        <f>INDEX(データ!L$21:N$24,MATCH(配置表!E139,データ!K$21:K$24,0),MATCH(配置表!G139,データ!L$20:N$20,0))</f>
        <v>1</v>
      </c>
      <c r="I139" s="52" t="str">
        <f>IF(ISERROR(VLOOKUP(M139,データ!$A$3:$C$20,3,FALSE)),"",VLOOKUP(M139,データ!$A$3:$C$20,3,FALSE))</f>
        <v/>
      </c>
      <c r="J139" s="52" t="str">
        <f t="shared" ref="J139:J169" si="145">IF(N139="月",1,"")</f>
        <v/>
      </c>
      <c r="K139" s="53">
        <f>IF(K136=2,IF(I139=1,2,1),IF(I139=1,IF(J139=1,2,0),IF(J139=1,1,0)))</f>
        <v>0</v>
      </c>
      <c r="L139" s="28" t="str">
        <f t="shared" ref="L139:L169" si="146">IF(AND(O139="",P139=""),"閉",IF(K139=1,"閉",""))</f>
        <v/>
      </c>
      <c r="M139" s="25">
        <f>M136+1</f>
        <v>45870</v>
      </c>
      <c r="N139" s="24" t="str">
        <f t="shared" ref="N139:N169" si="147">TEXT(WEEKDAY(M139,1),"aaa")</f>
        <v>金</v>
      </c>
      <c r="O139" s="69" t="str">
        <f>IF(AND(M139&gt;=VLOOKUP(M139,データ!$E$3:$G$9,1,TRUE),M139&lt;=VLOOKUP(M139,データ!$E$3:$G$9,2,TRUE)),VLOOKUP(M139,データ!$E$3:$G$9,3,TRUE),"")</f>
        <v>夏　特別展</v>
      </c>
      <c r="P139" s="66" t="str">
        <f>IF(AND(M139&gt;=VLOOKUP(M139,データ!$E$14:$G$21,1,TRUE),M139&lt;=VLOOKUP(M139,データ!$E$14:$G$21,2,TRUE)),VLOOKUP(M139,データ!$E$14:$G$21,3,TRUE),"")</f>
        <v>テーマ展</v>
      </c>
      <c r="Q139" s="44" t="str">
        <f t="shared" ref="Q139:Q169" si="148">IF(L139="閉","休","○")</f>
        <v>○</v>
      </c>
      <c r="R139" s="46"/>
      <c r="S139" s="33" t="str">
        <f t="shared" ref="S139" si="149">IF(H139="閉","休",IF(K139="","",IF(OR(J139="土",J139="日",E139=1),IF(OR(K139="ダミー　特別展",K139="ダミー　特別展"),"◎",IF(OR(K139="夏　特別展",K139="秋　特別展",K139="春　特別展"),"○","")),"")))</f>
        <v/>
      </c>
      <c r="T139" s="45"/>
      <c r="U139" s="33" t="str">
        <f t="shared" ref="U139:U141" si="150">IF(L139="閉","休",IF(S139="","●","●"))</f>
        <v>●</v>
      </c>
      <c r="V139" s="32"/>
      <c r="W139" s="33" t="str">
        <f t="shared" ref="W139" si="151">IF(P139="閉","休",IF(O139="","",IF(O139="冬　特別展",IF(OR(N139="土",N139="日",M139=1),"○",""),"○")))</f>
        <v>○</v>
      </c>
      <c r="X139" s="30"/>
      <c r="Y139" s="33" t="str">
        <f t="shared" ref="Y139:Y169" si="152">IF(L139="閉","休",IF(H139=1,"○",IF(H139=2,"●","Err")))</f>
        <v>○</v>
      </c>
      <c r="Z139" s="30">
        <f>IF(L139="閉","",(IF(AND(M139&gt;=VLOOKUP(M139,データ!$E$3:$G$9,1,TRUE),M139&lt;=VLOOKUP(M139,データ!$E$3:$G$9,2,TRUE)),VLOOKUP(M139,データ!$E$3:$H$9,4,TRUE),0)+IF(AND(M139&gt;=VLOOKUP(M139,データ!$E$14:$G$21,1,TRUE),M139&lt;=VLOOKUP(M139,データ!$E$14:$G$21,2,TRUE)),VLOOKUP(M139,データ!$E$14:$H$21,4,TRUE),0)))</f>
        <v>5</v>
      </c>
      <c r="AA139" s="33" t="str">
        <f t="shared" ref="AA139:AA169" si="153">IF(L139="閉","休",IF(O139="","△",IF(H139=1,"○",IF(H139=2,"●","Err"))))</f>
        <v>○</v>
      </c>
      <c r="AB139" s="232">
        <f t="shared" ref="AB139:AB169" si="154">IF(K139=1,"",E139)</f>
        <v>0.41666666666666669</v>
      </c>
      <c r="AC139" s="232">
        <f t="shared" ref="AC139:AC169" si="155">IF(K139=1,"",G139)</f>
        <v>0.70833333333333337</v>
      </c>
      <c r="AD139" s="226" t="str">
        <f>IF(K139=1,IF(ISERROR(VLOOKUP(M139,データ!$A$3:$C$23,2,FALSE)),"",VLOOKUP(M139,データ!$A$3:$C$23,2,FALSE)),(IF(ISERROR(VLOOKUP(M139,データ!$A$3:$C$23,2,FALSE)),"",VLOOKUP(M139,データ!$A$3:$C$23,2,FALSE))))</f>
        <v/>
      </c>
    </row>
    <row r="140" spans="1:30">
      <c r="A140" s="1">
        <f>IF(AND(M140&gt;=VLOOKUP(M140,データ!$K$3:$O$6,1,TRUE),M140&lt;=VLOOKUP(M140,データ!$K$3:$O$6,2,TRUE)),VLOOKUP(M140,データ!$K$3:$O$6,5,TRUE),"")</f>
        <v>1</v>
      </c>
      <c r="B140" s="74">
        <f>IF(AND(M140&gt;=VLOOKUP(M140,データ!$K$3:$O$6,1,TRUE),M140&lt;=VLOOKUP(M140,データ!$K$3:$O$6,2,TRUE)),VLOOKUP(M140,データ!$K$3:$O$6,3,TRUE),"")</f>
        <v>0.41666666666666669</v>
      </c>
      <c r="C140" s="1">
        <f>IF(AND(M140&gt;=VLOOKUP(M140,データ!$K$11:$O$16,1,TRUE),M140&lt;=VLOOKUP(M140,データ!$K$11:$O$16,2,TRUE)),VLOOKUP(M140,データ!$K$11:$O$16,5,TRUE),0)</f>
        <v>0</v>
      </c>
      <c r="D140" s="74" t="str">
        <f>IF(AND(M140&gt;=VLOOKUP(M140,データ!$K$11:$O$16,1,TRUE),M140&lt;=VLOOKUP(M140,データ!$K$11:$O$16,2,TRUE)),VLOOKUP(M140,データ!$K$11:$O$16,3,TRUE),"")</f>
        <v/>
      </c>
      <c r="E140" s="74">
        <f t="shared" si="144"/>
        <v>0.41666666666666669</v>
      </c>
      <c r="F140" s="75">
        <f>VLOOKUP(E140,データ!$K$20:$O$24,5,FALSE)</f>
        <v>0</v>
      </c>
      <c r="G140" s="74">
        <f>IF(AND(M140&gt;=VLOOKUP(M140,データ!$K$3:$O$6,1,TRUE),M140&lt;=VLOOKUP(M140,データ!$K$3:$O$6,2,TRUE)),VLOOKUP(M140,データ!$K$3:$O$6,4,TRUE),"")</f>
        <v>0.70833333333333337</v>
      </c>
      <c r="H140" s="256">
        <f>INDEX(データ!L$21:N$24,MATCH(配置表!E140,データ!K$21:K$24,0),MATCH(配置表!G140,データ!L$20:N$20,0))</f>
        <v>1</v>
      </c>
      <c r="I140" s="52" t="str">
        <f>IF(ISERROR(VLOOKUP(M140,データ!$A$3:$C$20,3,FALSE)),"",VLOOKUP(M140,データ!$A$3:$C$20,3,FALSE))</f>
        <v/>
      </c>
      <c r="J140" s="52" t="str">
        <f t="shared" si="145"/>
        <v/>
      </c>
      <c r="K140" s="53">
        <f>IF(K139=2,IF(I140=1,2,1),IF(I140=1,IF(J140=1,2,0),IF(J140=1,1,0)))</f>
        <v>0</v>
      </c>
      <c r="L140" s="28" t="str">
        <f t="shared" si="146"/>
        <v/>
      </c>
      <c r="M140" s="9">
        <f>M139+1</f>
        <v>45871</v>
      </c>
      <c r="N140" s="10" t="str">
        <f t="shared" si="147"/>
        <v>土</v>
      </c>
      <c r="O140" s="62" t="str">
        <f>IF(AND(M140&gt;=VLOOKUP(M140,データ!$E$3:$G$9,1,TRUE),M140&lt;=VLOOKUP(M140,データ!$E$3:$G$9,2,TRUE)),VLOOKUP(M140,データ!$E$3:$G$9,3,TRUE),"")</f>
        <v>夏　特別展</v>
      </c>
      <c r="P140" s="67" t="str">
        <f>IF(AND(M140&gt;=VLOOKUP(M140,データ!$E$14:$G$21,1,TRUE),M140&lt;=VLOOKUP(M140,データ!$E$14:$G$21,2,TRUE)),VLOOKUP(M140,データ!$E$14:$G$21,3,TRUE),"")</f>
        <v>テーマ展</v>
      </c>
      <c r="Q140" s="44" t="str">
        <f t="shared" si="148"/>
        <v>○</v>
      </c>
      <c r="R140" s="45"/>
      <c r="S140" s="10" t="str">
        <f t="shared" ref="S140:S141" si="156">IF(L140="閉","休",IF(O140="","",IF(O140="冬　特別展",IF(OR(N140="土",N140="日",I140=1),"○",""),"○")))</f>
        <v>○</v>
      </c>
      <c r="T140" s="45"/>
      <c r="U140" s="33" t="str">
        <f t="shared" si="150"/>
        <v>●</v>
      </c>
      <c r="V140" s="32"/>
      <c r="W140" s="33" t="str">
        <f t="shared" ref="W140:W141" si="157">IF(L140="閉","休",IF(O140="","",IF(OR(N140="土",N140="日",I140=1),IF(OR(O140="ダミー　特別展",O140="ダミー　特別展"),"◎",IF(OR(O140="夏　特別展",O140="秋　特別展",O140="春　特別展"),"◎","")),"")))</f>
        <v>◎</v>
      </c>
      <c r="X140" s="8"/>
      <c r="Y140" s="33" t="str">
        <f t="shared" si="152"/>
        <v>○</v>
      </c>
      <c r="Z140" s="32">
        <f>IF(L140="閉","",(IF(AND(M140&gt;=VLOOKUP(M140,データ!$E$3:$G$9,1,TRUE),M140&lt;=VLOOKUP(M140,データ!$E$3:$G$9,2,TRUE)),VLOOKUP(M140,データ!$E$3:$H$9,4,TRUE),0)+IF(AND(M140&gt;=VLOOKUP(M140,データ!$E$14:$G$21,1,TRUE),M140&lt;=VLOOKUP(M140,データ!$E$14:$G$21,2,TRUE)),VLOOKUP(M140,データ!$E$14:$H$21,4,TRUE),0)))</f>
        <v>5</v>
      </c>
      <c r="AA140" s="33" t="str">
        <f t="shared" si="153"/>
        <v>○</v>
      </c>
      <c r="AB140" s="227">
        <f t="shared" si="154"/>
        <v>0.41666666666666669</v>
      </c>
      <c r="AC140" s="227">
        <f t="shared" si="155"/>
        <v>0.70833333333333337</v>
      </c>
      <c r="AD140" s="228" t="str">
        <f>IF(K140=1,IF(ISERROR(VLOOKUP(M140,データ!$A$3:$C$23,2,FALSE)),"",VLOOKUP(M140,データ!$A$3:$C$23,2,FALSE)),(IF(ISERROR(VLOOKUP(M140,データ!$A$3:$C$23,2,FALSE)),"",VLOOKUP(M140,データ!$A$3:$C$23,2,FALSE))))</f>
        <v/>
      </c>
    </row>
    <row r="141" spans="1:30">
      <c r="A141" s="1">
        <f>IF(AND(M141&gt;=VLOOKUP(M141,データ!$K$3:$O$6,1,TRUE),M141&lt;=VLOOKUP(M141,データ!$K$3:$O$6,2,TRUE)),VLOOKUP(M141,データ!$K$3:$O$6,5,TRUE),"")</f>
        <v>1</v>
      </c>
      <c r="B141" s="74">
        <f>IF(AND(M141&gt;=VLOOKUP(M141,データ!$K$3:$O$6,1,TRUE),M141&lt;=VLOOKUP(M141,データ!$K$3:$O$6,2,TRUE)),VLOOKUP(M141,データ!$K$3:$O$6,3,TRUE),"")</f>
        <v>0.41666666666666669</v>
      </c>
      <c r="C141" s="1">
        <f>IF(AND(M141&gt;=VLOOKUP(M141,データ!$K$11:$O$16,1,TRUE),M141&lt;=VLOOKUP(M141,データ!$K$11:$O$16,2,TRUE)),VLOOKUP(M141,データ!$K$11:$O$16,5,TRUE),0)</f>
        <v>0</v>
      </c>
      <c r="D141" s="74" t="str">
        <f>IF(AND(M141&gt;=VLOOKUP(M141,データ!$K$11:$O$16,1,TRUE),M141&lt;=VLOOKUP(M141,データ!$K$11:$O$16,2,TRUE)),VLOOKUP(M141,データ!$K$11:$O$16,3,TRUE),"")</f>
        <v/>
      </c>
      <c r="E141" s="74">
        <f t="shared" si="144"/>
        <v>0.41666666666666669</v>
      </c>
      <c r="F141" s="75">
        <f>VLOOKUP(E141,データ!$K$20:$O$24,5,FALSE)</f>
        <v>0</v>
      </c>
      <c r="G141" s="74">
        <f>IF(AND(M141&gt;=VLOOKUP(M141,データ!$K$3:$O$6,1,TRUE),M141&lt;=VLOOKUP(M141,データ!$K$3:$O$6,2,TRUE)),VLOOKUP(M141,データ!$K$3:$O$6,4,TRUE),"")</f>
        <v>0.70833333333333337</v>
      </c>
      <c r="H141" s="256">
        <f>INDEX(データ!L$21:N$24,MATCH(配置表!E141,データ!K$21:K$24,0),MATCH(配置表!G141,データ!L$20:N$20,0))</f>
        <v>1</v>
      </c>
      <c r="I141" s="52" t="str">
        <f>IF(ISERROR(VLOOKUP(M141,データ!$A$3:$C$20,3,FALSE)),"",VLOOKUP(M141,データ!$A$3:$C$20,3,FALSE))</f>
        <v/>
      </c>
      <c r="J141" s="52" t="str">
        <f t="shared" si="145"/>
        <v/>
      </c>
      <c r="K141" s="53">
        <f t="shared" ref="K141:K169" si="158">IF(K140=2,IF(I141=1,2,1),IF(I141=1,IF(J141=1,2,0),IF(J141=1,1,0)))</f>
        <v>0</v>
      </c>
      <c r="L141" s="28" t="str">
        <f t="shared" si="146"/>
        <v/>
      </c>
      <c r="M141" s="9">
        <f t="shared" ref="M141:M169" si="159">M140+1</f>
        <v>45872</v>
      </c>
      <c r="N141" s="10" t="str">
        <f t="shared" si="147"/>
        <v>日</v>
      </c>
      <c r="O141" s="62" t="str">
        <f>IF(AND(M141&gt;=VLOOKUP(M141,データ!$E$3:$G$9,1,TRUE),M141&lt;=VLOOKUP(M141,データ!$E$3:$G$9,2,TRUE)),VLOOKUP(M141,データ!$E$3:$G$9,3,TRUE),"")</f>
        <v>夏　特別展</v>
      </c>
      <c r="P141" s="67" t="str">
        <f>IF(AND(M141&gt;=VLOOKUP(M141,データ!$E$14:$G$21,1,TRUE),M141&lt;=VLOOKUP(M141,データ!$E$14:$G$21,2,TRUE)),VLOOKUP(M141,データ!$E$14:$G$21,3,TRUE),"")</f>
        <v>テーマ展</v>
      </c>
      <c r="Q141" s="44" t="str">
        <f t="shared" si="148"/>
        <v>○</v>
      </c>
      <c r="R141" s="45"/>
      <c r="S141" s="10" t="str">
        <f t="shared" si="156"/>
        <v>○</v>
      </c>
      <c r="T141" s="45"/>
      <c r="U141" s="33" t="str">
        <f t="shared" si="150"/>
        <v>●</v>
      </c>
      <c r="V141" s="32"/>
      <c r="W141" s="33" t="str">
        <f t="shared" si="157"/>
        <v>◎</v>
      </c>
      <c r="X141" s="8"/>
      <c r="Y141" s="10" t="str">
        <f t="shared" si="152"/>
        <v>○</v>
      </c>
      <c r="Z141" s="32">
        <f>IF(L141="閉","",(IF(AND(M141&gt;=VLOOKUP(M141,データ!$E$3:$G$9,1,TRUE),M141&lt;=VLOOKUP(M141,データ!$E$3:$G$9,2,TRUE)),VLOOKUP(M141,データ!$E$3:$H$9,4,TRUE),0)+IF(AND(M141&gt;=VLOOKUP(M141,データ!$E$14:$G$21,1,TRUE),M141&lt;=VLOOKUP(M141,データ!$E$14:$G$21,2,TRUE)),VLOOKUP(M141,データ!$E$14:$H$21,4,TRUE),0)))</f>
        <v>5</v>
      </c>
      <c r="AA141" s="33" t="str">
        <f t="shared" si="153"/>
        <v>○</v>
      </c>
      <c r="AB141" s="227">
        <f t="shared" si="154"/>
        <v>0.41666666666666669</v>
      </c>
      <c r="AC141" s="227">
        <f t="shared" si="155"/>
        <v>0.70833333333333337</v>
      </c>
      <c r="AD141" s="228" t="str">
        <f>IF(K141=1,IF(ISERROR(VLOOKUP(M141,データ!$A$3:$C$23,2,FALSE)),"",VLOOKUP(M141,データ!$A$3:$C$23,2,FALSE)),(IF(ISERROR(VLOOKUP(M141,データ!$A$3:$C$23,2,FALSE)),"",VLOOKUP(M141,データ!$A$3:$C$23,2,FALSE))))</f>
        <v/>
      </c>
    </row>
    <row r="142" spans="1:30">
      <c r="A142" s="1">
        <f>IF(AND(M142&gt;=VLOOKUP(M142,データ!$K$3:$O$6,1,TRUE),M142&lt;=VLOOKUP(M142,データ!$K$3:$O$6,2,TRUE)),VLOOKUP(M142,データ!$K$3:$O$6,5,TRUE),"")</f>
        <v>1</v>
      </c>
      <c r="B142" s="74">
        <f>IF(AND(M142&gt;=VLOOKUP(M142,データ!$K$3:$O$6,1,TRUE),M142&lt;=VLOOKUP(M142,データ!$K$3:$O$6,2,TRUE)),VLOOKUP(M142,データ!$K$3:$O$6,3,TRUE),"")</f>
        <v>0.41666666666666669</v>
      </c>
      <c r="C142" s="1">
        <f>IF(AND(M142&gt;=VLOOKUP(M142,データ!$K$11:$O$16,1,TRUE),M142&lt;=VLOOKUP(M142,データ!$K$11:$O$16,2,TRUE)),VLOOKUP(M142,データ!$K$11:$O$16,5,TRUE),0)</f>
        <v>0</v>
      </c>
      <c r="D142" s="74" t="str">
        <f>IF(AND(M142&gt;=VLOOKUP(M142,データ!$K$11:$O$16,1,TRUE),M142&lt;=VLOOKUP(M142,データ!$K$11:$O$16,2,TRUE)),VLOOKUP(M142,データ!$K$11:$O$16,3,TRUE),"")</f>
        <v/>
      </c>
      <c r="E142" s="74">
        <f t="shared" si="144"/>
        <v>0.41666666666666669</v>
      </c>
      <c r="F142" s="75">
        <f>VLOOKUP(E142,データ!$K$20:$O$24,5,FALSE)</f>
        <v>0</v>
      </c>
      <c r="G142" s="74">
        <f>IF(AND(M142&gt;=VLOOKUP(M142,データ!$K$3:$O$6,1,TRUE),M142&lt;=VLOOKUP(M142,データ!$K$3:$O$6,2,TRUE)),VLOOKUP(M142,データ!$K$3:$O$6,4,TRUE),"")</f>
        <v>0.70833333333333337</v>
      </c>
      <c r="H142" s="256">
        <f>INDEX(データ!L$21:N$24,MATCH(配置表!E142,データ!K$21:K$24,0),MATCH(配置表!G142,データ!L$20:N$20,0))</f>
        <v>1</v>
      </c>
      <c r="I142" s="52" t="str">
        <f>IF(ISERROR(VLOOKUP(M142,データ!$A$3:$C$20,3,FALSE)),"",VLOOKUP(M142,データ!$A$3:$C$20,3,FALSE))</f>
        <v/>
      </c>
      <c r="J142" s="52">
        <f t="shared" si="145"/>
        <v>1</v>
      </c>
      <c r="K142" s="53">
        <f t="shared" si="158"/>
        <v>1</v>
      </c>
      <c r="L142" s="28" t="str">
        <f t="shared" si="146"/>
        <v>閉</v>
      </c>
      <c r="M142" s="9">
        <f t="shared" si="159"/>
        <v>45873</v>
      </c>
      <c r="N142" s="10" t="str">
        <f t="shared" si="147"/>
        <v>月</v>
      </c>
      <c r="O142" s="62" t="str">
        <f>IF(AND(M142&gt;=VLOOKUP(M142,データ!$E$3:$G$9,1,TRUE),M142&lt;=VLOOKUP(M142,データ!$E$3:$G$9,2,TRUE)),VLOOKUP(M142,データ!$E$3:$G$9,3,TRUE),"")</f>
        <v>夏　特別展</v>
      </c>
      <c r="P142" s="67" t="str">
        <f>IF(AND(M142&gt;=VLOOKUP(M142,データ!$E$14:$G$21,1,TRUE),M142&lt;=VLOOKUP(M142,データ!$E$14:$G$21,2,TRUE)),VLOOKUP(M142,データ!$E$14:$G$21,3,TRUE),"")</f>
        <v>テーマ展</v>
      </c>
      <c r="Q142" s="44" t="str">
        <f t="shared" si="148"/>
        <v>休</v>
      </c>
      <c r="R142" s="8"/>
      <c r="S142" s="33" t="str">
        <f t="shared" ref="S142:S169" si="160">IF(L142="閉","休",IF(O142="","",IF(O142="冬　特別展",IF(OR(N142="土",N142="日",I142=1),"○",""),"○")))</f>
        <v>休</v>
      </c>
      <c r="T142" s="8"/>
      <c r="U142" s="33" t="str">
        <f t="shared" ref="U142:U169" si="161">IF(L142="閉","休",IF(S142="","●","●"))</f>
        <v>休</v>
      </c>
      <c r="V142" s="8"/>
      <c r="W142" s="33" t="str">
        <f t="shared" ref="W142:W169" si="162">IF(L142="閉","休",IF(O142="","",IF(OR(N142="土",N142="日",I142=1),IF(OR(O142="ダミー　特別展",O142="ダミー　特別展"),"◎",IF(OR(O142="夏　特別展",O142="秋　特別展",O142="春　特別展"),"○","")),"")))</f>
        <v>休</v>
      </c>
      <c r="X142" s="8"/>
      <c r="Y142" s="33" t="str">
        <f t="shared" si="152"/>
        <v>休</v>
      </c>
      <c r="Z142" s="8" t="str">
        <f>IF(L142="閉","",(IF(AND(M142&gt;=VLOOKUP(M142,データ!$E$3:$G$9,1,TRUE),M142&lt;=VLOOKUP(M142,データ!$E$3:$G$9,2,TRUE)),VLOOKUP(M142,データ!$E$3:$H$9,4,TRUE),0)+IF(AND(M142&gt;=VLOOKUP(M142,データ!$E$14:$G$21,1,TRUE),M142&lt;=VLOOKUP(M142,データ!$E$14:$G$21,2,TRUE)),VLOOKUP(M142,データ!$E$14:$H$21,4,TRUE),0)))</f>
        <v/>
      </c>
      <c r="AA142" s="33" t="str">
        <f t="shared" si="153"/>
        <v>休</v>
      </c>
      <c r="AB142" s="227" t="str">
        <f t="shared" si="154"/>
        <v/>
      </c>
      <c r="AC142" s="227" t="str">
        <f t="shared" si="155"/>
        <v/>
      </c>
      <c r="AD142" s="228" t="str">
        <f>IF(K142=1,IF(ISERROR(VLOOKUP(M142,データ!$A$3:$C$23,2,FALSE)),"",VLOOKUP(M142,データ!$A$3:$C$23,2,FALSE)),(IF(ISERROR(VLOOKUP(M142,データ!$A$3:$C$23,2,FALSE)),"",VLOOKUP(M142,データ!$A$3:$C$23,2,FALSE))))</f>
        <v/>
      </c>
    </row>
    <row r="143" spans="1:30">
      <c r="A143" s="1">
        <f>IF(AND(M143&gt;=VLOOKUP(M143,データ!$K$3:$O$6,1,TRUE),M143&lt;=VLOOKUP(M143,データ!$K$3:$O$6,2,TRUE)),VLOOKUP(M143,データ!$K$3:$O$6,5,TRUE),"")</f>
        <v>1</v>
      </c>
      <c r="B143" s="74">
        <f>IF(AND(M143&gt;=VLOOKUP(M143,データ!$K$3:$O$6,1,TRUE),M143&lt;=VLOOKUP(M143,データ!$K$3:$O$6,2,TRUE)),VLOOKUP(M143,データ!$K$3:$O$6,3,TRUE),"")</f>
        <v>0.41666666666666669</v>
      </c>
      <c r="C143" s="1">
        <f>IF(AND(M143&gt;=VLOOKUP(M143,データ!$K$11:$O$16,1,TRUE),M143&lt;=VLOOKUP(M143,データ!$K$11:$O$16,2,TRUE)),VLOOKUP(M143,データ!$K$11:$O$16,5,TRUE),0)</f>
        <v>0</v>
      </c>
      <c r="D143" s="74" t="str">
        <f>IF(AND(M143&gt;=VLOOKUP(M143,データ!$K$11:$O$16,1,TRUE),M143&lt;=VLOOKUP(M143,データ!$K$11:$O$16,2,TRUE)),VLOOKUP(M143,データ!$K$11:$O$16,3,TRUE),"")</f>
        <v/>
      </c>
      <c r="E143" s="74">
        <f t="shared" si="144"/>
        <v>0.41666666666666669</v>
      </c>
      <c r="F143" s="75">
        <f>VLOOKUP(E143,データ!$K$20:$O$24,5,FALSE)</f>
        <v>0</v>
      </c>
      <c r="G143" s="74">
        <f>IF(AND(M143&gt;=VLOOKUP(M143,データ!$K$3:$O$6,1,TRUE),M143&lt;=VLOOKUP(M143,データ!$K$3:$O$6,2,TRUE)),VLOOKUP(M143,データ!$K$3:$O$6,4,TRUE),"")</f>
        <v>0.70833333333333337</v>
      </c>
      <c r="H143" s="256">
        <f>INDEX(データ!L$21:N$24,MATCH(配置表!E143,データ!K$21:K$24,0),MATCH(配置表!G143,データ!L$20:N$20,0))</f>
        <v>1</v>
      </c>
      <c r="I143" s="52" t="str">
        <f>IF(ISERROR(VLOOKUP(M143,データ!$A$3:$C$20,3,FALSE)),"",VLOOKUP(M143,データ!$A$3:$C$20,3,FALSE))</f>
        <v/>
      </c>
      <c r="J143" s="52" t="str">
        <f t="shared" si="145"/>
        <v/>
      </c>
      <c r="K143" s="53">
        <f t="shared" si="158"/>
        <v>0</v>
      </c>
      <c r="L143" s="28" t="str">
        <f t="shared" si="146"/>
        <v/>
      </c>
      <c r="M143" s="9">
        <f t="shared" si="159"/>
        <v>45874</v>
      </c>
      <c r="N143" s="10" t="str">
        <f t="shared" si="147"/>
        <v>火</v>
      </c>
      <c r="O143" s="62" t="str">
        <f>IF(AND(M143&gt;=VLOOKUP(M143,データ!$E$3:$G$9,1,TRUE),M143&lt;=VLOOKUP(M143,データ!$E$3:$G$9,2,TRUE)),VLOOKUP(M143,データ!$E$3:$G$9,3,TRUE),"")</f>
        <v>夏　特別展</v>
      </c>
      <c r="P143" s="67" t="str">
        <f>IF(AND(M143&gt;=VLOOKUP(M143,データ!$E$14:$G$21,1,TRUE),M143&lt;=VLOOKUP(M143,データ!$E$14:$G$21,2,TRUE)),VLOOKUP(M143,データ!$E$14:$G$21,3,TRUE),"")</f>
        <v>テーマ展</v>
      </c>
      <c r="Q143" s="44" t="str">
        <f t="shared" si="148"/>
        <v>○</v>
      </c>
      <c r="R143" s="45"/>
      <c r="S143" s="33" t="str">
        <f t="shared" ref="S143:S146" si="163">IF(H143="閉","休",IF(K143="","",IF(OR(J143="土",J143="日",E143=1),IF(OR(K143="ダミー　特別展",K143="ダミー　特別展"),"◎",IF(OR(K143="夏　特別展",K143="秋　特別展",K143="春　特別展"),"○","")),"")))</f>
        <v/>
      </c>
      <c r="T143" s="45"/>
      <c r="U143" s="33" t="str">
        <f t="shared" si="161"/>
        <v>●</v>
      </c>
      <c r="V143" s="32"/>
      <c r="W143" s="33" t="str">
        <f t="shared" ref="W143:W146" si="164">IF(P143="閉","休",IF(O143="","",IF(O143="冬　特別展",IF(OR(N143="土",N143="日",M143=1),"○",""),"○")))</f>
        <v>○</v>
      </c>
      <c r="X143" s="8"/>
      <c r="Y143" s="33" t="str">
        <f t="shared" si="152"/>
        <v>○</v>
      </c>
      <c r="Z143" s="8">
        <f>IF(L143="閉","",(IF(AND(M143&gt;=VLOOKUP(M143,データ!$E$3:$G$9,1,TRUE),M143&lt;=VLOOKUP(M143,データ!$E$3:$G$9,2,TRUE)),VLOOKUP(M143,データ!$E$3:$H$9,4,TRUE),0)+IF(AND(M143&gt;=VLOOKUP(M143,データ!$E$14:$G$21,1,TRUE),M143&lt;=VLOOKUP(M143,データ!$E$14:$G$21,2,TRUE)),VLOOKUP(M143,データ!$E$14:$H$21,4,TRUE),0)))</f>
        <v>5</v>
      </c>
      <c r="AA143" s="33" t="str">
        <f t="shared" si="153"/>
        <v>○</v>
      </c>
      <c r="AB143" s="227">
        <f t="shared" si="154"/>
        <v>0.41666666666666669</v>
      </c>
      <c r="AC143" s="227">
        <f t="shared" si="155"/>
        <v>0.70833333333333337</v>
      </c>
      <c r="AD143" s="228" t="str">
        <f>IF(K143=1,IF(ISERROR(VLOOKUP(M143,データ!$A$3:$C$23,2,FALSE)),"",VLOOKUP(M143,データ!$A$3:$C$23,2,FALSE)),(IF(ISERROR(VLOOKUP(M143,データ!$A$3:$C$23,2,FALSE)),"",VLOOKUP(M143,データ!$A$3:$C$23,2,FALSE))))</f>
        <v/>
      </c>
    </row>
    <row r="144" spans="1:30">
      <c r="A144" s="1">
        <f>IF(AND(M144&gt;=VLOOKUP(M144,データ!$K$3:$O$6,1,TRUE),M144&lt;=VLOOKUP(M144,データ!$K$3:$O$6,2,TRUE)),VLOOKUP(M144,データ!$K$3:$O$6,5,TRUE),"")</f>
        <v>1</v>
      </c>
      <c r="B144" s="74">
        <f>IF(AND(M144&gt;=VLOOKUP(M144,データ!$K$3:$O$6,1,TRUE),M144&lt;=VLOOKUP(M144,データ!$K$3:$O$6,2,TRUE)),VLOOKUP(M144,データ!$K$3:$O$6,3,TRUE),"")</f>
        <v>0.41666666666666669</v>
      </c>
      <c r="C144" s="1">
        <f>IF(AND(M144&gt;=VLOOKUP(M144,データ!$K$11:$O$16,1,TRUE),M144&lt;=VLOOKUP(M144,データ!$K$11:$O$16,2,TRUE)),VLOOKUP(M144,データ!$K$11:$O$16,5,TRUE),0)</f>
        <v>0</v>
      </c>
      <c r="D144" s="74" t="str">
        <f>IF(AND(M144&gt;=VLOOKUP(M144,データ!$K$11:$O$16,1,TRUE),M144&lt;=VLOOKUP(M144,データ!$K$11:$O$16,2,TRUE)),VLOOKUP(M144,データ!$K$11:$O$16,3,TRUE),"")</f>
        <v/>
      </c>
      <c r="E144" s="74">
        <f t="shared" si="144"/>
        <v>0.41666666666666669</v>
      </c>
      <c r="F144" s="75">
        <f>VLOOKUP(E144,データ!$K$20:$O$24,5,FALSE)</f>
        <v>0</v>
      </c>
      <c r="G144" s="74">
        <f>IF(AND(M144&gt;=VLOOKUP(M144,データ!$K$3:$O$6,1,TRUE),M144&lt;=VLOOKUP(M144,データ!$K$3:$O$6,2,TRUE)),VLOOKUP(M144,データ!$K$3:$O$6,4,TRUE),"")</f>
        <v>0.70833333333333337</v>
      </c>
      <c r="H144" s="256">
        <f>INDEX(データ!L$21:N$24,MATCH(配置表!E144,データ!K$21:K$24,0),MATCH(配置表!G144,データ!L$20:N$20,0))</f>
        <v>1</v>
      </c>
      <c r="I144" s="52" t="str">
        <f>IF(ISERROR(VLOOKUP(M144,データ!$A$3:$C$20,3,FALSE)),"",VLOOKUP(M144,データ!$A$3:$C$20,3,FALSE))</f>
        <v/>
      </c>
      <c r="J144" s="52" t="str">
        <f t="shared" si="145"/>
        <v/>
      </c>
      <c r="K144" s="53">
        <f t="shared" si="158"/>
        <v>0</v>
      </c>
      <c r="L144" s="28" t="str">
        <f t="shared" si="146"/>
        <v/>
      </c>
      <c r="M144" s="9">
        <f t="shared" si="159"/>
        <v>45875</v>
      </c>
      <c r="N144" s="10" t="str">
        <f t="shared" si="147"/>
        <v>水</v>
      </c>
      <c r="O144" s="62" t="str">
        <f>IF(AND(M144&gt;=VLOOKUP(M144,データ!$E$3:$G$9,1,TRUE),M144&lt;=VLOOKUP(M144,データ!$E$3:$G$9,2,TRUE)),VLOOKUP(M144,データ!$E$3:$G$9,3,TRUE),"")</f>
        <v>夏　特別展</v>
      </c>
      <c r="P144" s="67" t="str">
        <f>IF(AND(M144&gt;=VLOOKUP(M144,データ!$E$14:$G$21,1,TRUE),M144&lt;=VLOOKUP(M144,データ!$E$14:$G$21,2,TRUE)),VLOOKUP(M144,データ!$E$14:$G$21,3,TRUE),"")</f>
        <v>テーマ展</v>
      </c>
      <c r="Q144" s="44" t="str">
        <f t="shared" si="148"/>
        <v>○</v>
      </c>
      <c r="R144" s="45"/>
      <c r="S144" s="33" t="str">
        <f t="shared" si="163"/>
        <v/>
      </c>
      <c r="T144" s="45"/>
      <c r="U144" s="33" t="str">
        <f t="shared" si="161"/>
        <v>●</v>
      </c>
      <c r="V144" s="32"/>
      <c r="W144" s="33" t="str">
        <f t="shared" si="164"/>
        <v>○</v>
      </c>
      <c r="X144" s="8"/>
      <c r="Y144" s="33" t="str">
        <f t="shared" si="152"/>
        <v>○</v>
      </c>
      <c r="Z144" s="8">
        <f>IF(L144="閉","",(IF(AND(M144&gt;=VLOOKUP(M144,データ!$E$3:$G$9,1,TRUE),M144&lt;=VLOOKUP(M144,データ!$E$3:$G$9,2,TRUE)),VLOOKUP(M144,データ!$E$3:$H$9,4,TRUE),0)+IF(AND(M144&gt;=VLOOKUP(M144,データ!$E$14:$G$21,1,TRUE),M144&lt;=VLOOKUP(M144,データ!$E$14:$G$21,2,TRUE)),VLOOKUP(M144,データ!$E$14:$H$21,4,TRUE),0)))</f>
        <v>5</v>
      </c>
      <c r="AA144" s="33" t="str">
        <f t="shared" si="153"/>
        <v>○</v>
      </c>
      <c r="AB144" s="227">
        <f t="shared" si="154"/>
        <v>0.41666666666666669</v>
      </c>
      <c r="AC144" s="227">
        <f t="shared" si="155"/>
        <v>0.70833333333333337</v>
      </c>
      <c r="AD144" s="228" t="str">
        <f>IF(K144=1,IF(ISERROR(VLOOKUP(M144,データ!$A$3:$C$23,2,FALSE)),"",VLOOKUP(M144,データ!$A$3:$C$23,2,FALSE)),(IF(ISERROR(VLOOKUP(M144,データ!$A$3:$C$23,2,FALSE)),"",VLOOKUP(M144,データ!$A$3:$C$23,2,FALSE))))</f>
        <v/>
      </c>
    </row>
    <row r="145" spans="1:30">
      <c r="A145" s="1">
        <f>IF(AND(M145&gt;=VLOOKUP(M145,データ!$K$3:$O$6,1,TRUE),M145&lt;=VLOOKUP(M145,データ!$K$3:$O$6,2,TRUE)),VLOOKUP(M145,データ!$K$3:$O$6,5,TRUE),"")</f>
        <v>1</v>
      </c>
      <c r="B145" s="74">
        <f>IF(AND(M145&gt;=VLOOKUP(M145,データ!$K$3:$O$6,1,TRUE),M145&lt;=VLOOKUP(M145,データ!$K$3:$O$6,2,TRUE)),VLOOKUP(M145,データ!$K$3:$O$6,3,TRUE),"")</f>
        <v>0.41666666666666669</v>
      </c>
      <c r="C145" s="1">
        <f>IF(AND(M145&gt;=VLOOKUP(M145,データ!$K$11:$O$16,1,TRUE),M145&lt;=VLOOKUP(M145,データ!$K$11:$O$16,2,TRUE)),VLOOKUP(M145,データ!$K$11:$O$16,5,TRUE),0)</f>
        <v>0</v>
      </c>
      <c r="D145" s="74" t="str">
        <f>IF(AND(M145&gt;=VLOOKUP(M145,データ!$K$11:$O$16,1,TRUE),M145&lt;=VLOOKUP(M145,データ!$K$11:$O$16,2,TRUE)),VLOOKUP(M145,データ!$K$11:$O$16,3,TRUE),"")</f>
        <v/>
      </c>
      <c r="E145" s="74">
        <f t="shared" si="144"/>
        <v>0.41666666666666669</v>
      </c>
      <c r="F145" s="75">
        <f>VLOOKUP(E145,データ!$K$20:$O$24,5,FALSE)</f>
        <v>0</v>
      </c>
      <c r="G145" s="74">
        <f>IF(AND(M145&gt;=VLOOKUP(M145,データ!$K$3:$O$6,1,TRUE),M145&lt;=VLOOKUP(M145,データ!$K$3:$O$6,2,TRUE)),VLOOKUP(M145,データ!$K$3:$O$6,4,TRUE),"")</f>
        <v>0.70833333333333337</v>
      </c>
      <c r="H145" s="256">
        <f>INDEX(データ!L$21:N$24,MATCH(配置表!E145,データ!K$21:K$24,0),MATCH(配置表!G145,データ!L$20:N$20,0))</f>
        <v>1</v>
      </c>
      <c r="I145" s="52" t="str">
        <f>IF(ISERROR(VLOOKUP(M145,データ!$A$3:$C$20,3,FALSE)),"",VLOOKUP(M145,データ!$A$3:$C$20,3,FALSE))</f>
        <v/>
      </c>
      <c r="J145" s="52" t="str">
        <f t="shared" si="145"/>
        <v/>
      </c>
      <c r="K145" s="53">
        <f t="shared" si="158"/>
        <v>0</v>
      </c>
      <c r="L145" s="28" t="str">
        <f t="shared" si="146"/>
        <v/>
      </c>
      <c r="M145" s="9">
        <f t="shared" si="159"/>
        <v>45876</v>
      </c>
      <c r="N145" s="10" t="str">
        <f t="shared" si="147"/>
        <v>木</v>
      </c>
      <c r="O145" s="62" t="str">
        <f>IF(AND(M145&gt;=VLOOKUP(M145,データ!$E$3:$G$9,1,TRUE),M145&lt;=VLOOKUP(M145,データ!$E$3:$G$9,2,TRUE)),VLOOKUP(M145,データ!$E$3:$G$9,3,TRUE),"")</f>
        <v>夏　特別展</v>
      </c>
      <c r="P145" s="67" t="str">
        <f>IF(AND(M145&gt;=VLOOKUP(M145,データ!$E$14:$G$21,1,TRUE),M145&lt;=VLOOKUP(M145,データ!$E$14:$G$21,2,TRUE)),VLOOKUP(M145,データ!$E$14:$G$21,3,TRUE),"")</f>
        <v>テーマ展</v>
      </c>
      <c r="Q145" s="44" t="str">
        <f t="shared" si="148"/>
        <v>○</v>
      </c>
      <c r="R145" s="45"/>
      <c r="S145" s="33" t="str">
        <f t="shared" si="163"/>
        <v/>
      </c>
      <c r="T145" s="45"/>
      <c r="U145" s="33" t="str">
        <f t="shared" si="161"/>
        <v>●</v>
      </c>
      <c r="V145" s="32"/>
      <c r="W145" s="33" t="str">
        <f t="shared" si="164"/>
        <v>○</v>
      </c>
      <c r="X145" s="8"/>
      <c r="Y145" s="33" t="str">
        <f t="shared" si="152"/>
        <v>○</v>
      </c>
      <c r="Z145" s="8">
        <f>IF(L145="閉","",(IF(AND(M145&gt;=VLOOKUP(M145,データ!$E$3:$G$9,1,TRUE),M145&lt;=VLOOKUP(M145,データ!$E$3:$G$9,2,TRUE)),VLOOKUP(M145,データ!$E$3:$H$9,4,TRUE),0)+IF(AND(M145&gt;=VLOOKUP(M145,データ!$E$14:$G$21,1,TRUE),M145&lt;=VLOOKUP(M145,データ!$E$14:$G$21,2,TRUE)),VLOOKUP(M145,データ!$E$14:$H$21,4,TRUE),0)))</f>
        <v>5</v>
      </c>
      <c r="AA145" s="33" t="str">
        <f t="shared" si="153"/>
        <v>○</v>
      </c>
      <c r="AB145" s="227">
        <f t="shared" si="154"/>
        <v>0.41666666666666669</v>
      </c>
      <c r="AC145" s="227">
        <f t="shared" si="155"/>
        <v>0.70833333333333337</v>
      </c>
      <c r="AD145" s="228" t="str">
        <f>IF(K145=1,IF(ISERROR(VLOOKUP(M145,データ!$A$3:$C$23,2,FALSE)),"",VLOOKUP(M145,データ!$A$3:$C$23,2,FALSE)),(IF(ISERROR(VLOOKUP(M145,データ!$A$3:$C$23,2,FALSE)),"",VLOOKUP(M145,データ!$A$3:$C$23,2,FALSE))))</f>
        <v/>
      </c>
    </row>
    <row r="146" spans="1:30">
      <c r="A146" s="1">
        <f>IF(AND(M146&gt;=VLOOKUP(M146,データ!$K$3:$O$6,1,TRUE),M146&lt;=VLOOKUP(M146,データ!$K$3:$O$6,2,TRUE)),VLOOKUP(M146,データ!$K$3:$O$6,5,TRUE),"")</f>
        <v>1</v>
      </c>
      <c r="B146" s="74">
        <f>IF(AND(M146&gt;=VLOOKUP(M146,データ!$K$3:$O$6,1,TRUE),M146&lt;=VLOOKUP(M146,データ!$K$3:$O$6,2,TRUE)),VLOOKUP(M146,データ!$K$3:$O$6,3,TRUE),"")</f>
        <v>0.41666666666666669</v>
      </c>
      <c r="C146" s="1">
        <f>IF(AND(M146&gt;=VLOOKUP(M146,データ!$K$11:$O$16,1,TRUE),M146&lt;=VLOOKUP(M146,データ!$K$11:$O$16,2,TRUE)),VLOOKUP(M146,データ!$K$11:$O$16,5,TRUE),0)</f>
        <v>0</v>
      </c>
      <c r="D146" s="74" t="str">
        <f>IF(AND(M146&gt;=VLOOKUP(M146,データ!$K$11:$O$16,1,TRUE),M146&lt;=VLOOKUP(M146,データ!$K$11:$O$16,2,TRUE)),VLOOKUP(M146,データ!$K$11:$O$16,3,TRUE),"")</f>
        <v/>
      </c>
      <c r="E146" s="74">
        <f t="shared" si="144"/>
        <v>0.41666666666666669</v>
      </c>
      <c r="F146" s="75">
        <f>VLOOKUP(E146,データ!$K$20:$O$24,5,FALSE)</f>
        <v>0</v>
      </c>
      <c r="G146" s="74">
        <f>IF(AND(M146&gt;=VLOOKUP(M146,データ!$K$3:$O$6,1,TRUE),M146&lt;=VLOOKUP(M146,データ!$K$3:$O$6,2,TRUE)),VLOOKUP(M146,データ!$K$3:$O$6,4,TRUE),"")</f>
        <v>0.70833333333333337</v>
      </c>
      <c r="H146" s="256">
        <f>INDEX(データ!L$21:N$24,MATCH(配置表!E146,データ!K$21:K$24,0),MATCH(配置表!G146,データ!L$20:N$20,0))</f>
        <v>1</v>
      </c>
      <c r="I146" s="52" t="str">
        <f>IF(ISERROR(VLOOKUP(M146,データ!$A$3:$C$20,3,FALSE)),"",VLOOKUP(M146,データ!$A$3:$C$20,3,FALSE))</f>
        <v/>
      </c>
      <c r="J146" s="52" t="str">
        <f t="shared" si="145"/>
        <v/>
      </c>
      <c r="K146" s="53">
        <f t="shared" si="158"/>
        <v>0</v>
      </c>
      <c r="L146" s="28" t="str">
        <f t="shared" si="146"/>
        <v/>
      </c>
      <c r="M146" s="9">
        <f t="shared" si="159"/>
        <v>45877</v>
      </c>
      <c r="N146" s="10" t="str">
        <f t="shared" si="147"/>
        <v>金</v>
      </c>
      <c r="O146" s="62" t="str">
        <f>IF(AND(M146&gt;=VLOOKUP(M146,データ!$E$3:$G$9,1,TRUE),M146&lt;=VLOOKUP(M146,データ!$E$3:$G$9,2,TRUE)),VLOOKUP(M146,データ!$E$3:$G$9,3,TRUE),"")</f>
        <v>夏　特別展</v>
      </c>
      <c r="P146" s="67" t="str">
        <f>IF(AND(M146&gt;=VLOOKUP(M146,データ!$E$14:$G$21,1,TRUE),M146&lt;=VLOOKUP(M146,データ!$E$14:$G$21,2,TRUE)),VLOOKUP(M146,データ!$E$14:$G$21,3,TRUE),"")</f>
        <v>テーマ展</v>
      </c>
      <c r="Q146" s="44" t="str">
        <f t="shared" si="148"/>
        <v>○</v>
      </c>
      <c r="R146" s="45"/>
      <c r="S146" s="33" t="str">
        <f t="shared" si="163"/>
        <v/>
      </c>
      <c r="T146" s="45"/>
      <c r="U146" s="33" t="str">
        <f t="shared" si="161"/>
        <v>●</v>
      </c>
      <c r="V146" s="32"/>
      <c r="W146" s="33" t="str">
        <f t="shared" si="164"/>
        <v>○</v>
      </c>
      <c r="X146" s="8"/>
      <c r="Y146" s="33" t="str">
        <f t="shared" si="152"/>
        <v>○</v>
      </c>
      <c r="Z146" s="8">
        <f>IF(L146="閉","",(IF(AND(M146&gt;=VLOOKUP(M146,データ!$E$3:$G$9,1,TRUE),M146&lt;=VLOOKUP(M146,データ!$E$3:$G$9,2,TRUE)),VLOOKUP(M146,データ!$E$3:$H$9,4,TRUE),0)+IF(AND(M146&gt;=VLOOKUP(M146,データ!$E$14:$G$21,1,TRUE),M146&lt;=VLOOKUP(M146,データ!$E$14:$G$21,2,TRUE)),VLOOKUP(M146,データ!$E$14:$H$21,4,TRUE),0)))</f>
        <v>5</v>
      </c>
      <c r="AA146" s="33" t="str">
        <f t="shared" si="153"/>
        <v>○</v>
      </c>
      <c r="AB146" s="227">
        <f t="shared" si="154"/>
        <v>0.41666666666666669</v>
      </c>
      <c r="AC146" s="227">
        <f t="shared" si="155"/>
        <v>0.70833333333333337</v>
      </c>
      <c r="AD146" s="228" t="str">
        <f>IF(K146=1,IF(ISERROR(VLOOKUP(M146,データ!$A$3:$C$23,2,FALSE)),"",VLOOKUP(M146,データ!$A$3:$C$23,2,FALSE)),(IF(ISERROR(VLOOKUP(M146,データ!$A$3:$C$23,2,FALSE)),"",VLOOKUP(M146,データ!$A$3:$C$23,2,FALSE))))</f>
        <v/>
      </c>
    </row>
    <row r="147" spans="1:30">
      <c r="A147" s="1">
        <f>IF(AND(M147&gt;=VLOOKUP(M147,データ!$K$3:$O$6,1,TRUE),M147&lt;=VLOOKUP(M147,データ!$K$3:$O$6,2,TRUE)),VLOOKUP(M147,データ!$K$3:$O$6,5,TRUE),"")</f>
        <v>1</v>
      </c>
      <c r="B147" s="74">
        <f>IF(AND(M147&gt;=VLOOKUP(M147,データ!$K$3:$O$6,1,TRUE),M147&lt;=VLOOKUP(M147,データ!$K$3:$O$6,2,TRUE)),VLOOKUP(M147,データ!$K$3:$O$6,3,TRUE),"")</f>
        <v>0.41666666666666669</v>
      </c>
      <c r="C147" s="1">
        <f>IF(AND(M147&gt;=VLOOKUP(M147,データ!$K$11:$O$16,1,TRUE),M147&lt;=VLOOKUP(M147,データ!$K$11:$O$16,2,TRUE)),VLOOKUP(M147,データ!$K$11:$O$16,5,TRUE),0)</f>
        <v>0</v>
      </c>
      <c r="D147" s="74" t="str">
        <f>IF(AND(M147&gt;=VLOOKUP(M147,データ!$K$11:$O$16,1,TRUE),M147&lt;=VLOOKUP(M147,データ!$K$11:$O$16,2,TRUE)),VLOOKUP(M147,データ!$K$11:$O$16,3,TRUE),"")</f>
        <v/>
      </c>
      <c r="E147" s="74">
        <f t="shared" si="144"/>
        <v>0.41666666666666669</v>
      </c>
      <c r="F147" s="75">
        <f>VLOOKUP(E147,データ!$K$20:$O$24,5,FALSE)</f>
        <v>0</v>
      </c>
      <c r="G147" s="74">
        <f>IF(AND(M147&gt;=VLOOKUP(M147,データ!$K$3:$O$6,1,TRUE),M147&lt;=VLOOKUP(M147,データ!$K$3:$O$6,2,TRUE)),VLOOKUP(M147,データ!$K$3:$O$6,4,TRUE),"")</f>
        <v>0.70833333333333337</v>
      </c>
      <c r="H147" s="256">
        <f>INDEX(データ!L$21:N$24,MATCH(配置表!E147,データ!K$21:K$24,0),MATCH(配置表!G147,データ!L$20:N$20,0))</f>
        <v>1</v>
      </c>
      <c r="I147" s="52" t="str">
        <f>IF(ISERROR(VLOOKUP(M147,データ!$A$3:$C$20,3,FALSE)),"",VLOOKUP(M147,データ!$A$3:$C$20,3,FALSE))</f>
        <v/>
      </c>
      <c r="J147" s="52" t="str">
        <f t="shared" si="145"/>
        <v/>
      </c>
      <c r="K147" s="53">
        <f t="shared" si="158"/>
        <v>0</v>
      </c>
      <c r="L147" s="28" t="str">
        <f t="shared" si="146"/>
        <v/>
      </c>
      <c r="M147" s="9">
        <f t="shared" si="159"/>
        <v>45878</v>
      </c>
      <c r="N147" s="10" t="str">
        <f t="shared" si="147"/>
        <v>土</v>
      </c>
      <c r="O147" s="62" t="str">
        <f>IF(AND(M147&gt;=VLOOKUP(M147,データ!$E$3:$G$9,1,TRUE),M147&lt;=VLOOKUP(M147,データ!$E$3:$G$9,2,TRUE)),VLOOKUP(M147,データ!$E$3:$G$9,3,TRUE),"")</f>
        <v>夏　特別展</v>
      </c>
      <c r="P147" s="67" t="str">
        <f>IF(AND(M147&gt;=VLOOKUP(M147,データ!$E$14:$G$21,1,TRUE),M147&lt;=VLOOKUP(M147,データ!$E$14:$G$21,2,TRUE)),VLOOKUP(M147,データ!$E$14:$G$21,3,TRUE),"")</f>
        <v>テーマ展</v>
      </c>
      <c r="Q147" s="44" t="str">
        <f t="shared" si="148"/>
        <v>○</v>
      </c>
      <c r="R147" s="45"/>
      <c r="S147" s="10" t="str">
        <f t="shared" ref="S147:S149" si="165">IF(L147="閉","休",IF(O147="","",IF(O147="冬　特別展",IF(OR(N147="土",N147="日",I147=1),"○",""),"○")))</f>
        <v>○</v>
      </c>
      <c r="T147" s="45"/>
      <c r="U147" s="33" t="str">
        <f t="shared" si="161"/>
        <v>●</v>
      </c>
      <c r="V147" s="32"/>
      <c r="W147" s="33" t="str">
        <f t="shared" ref="W147:W149" si="166">IF(L147="閉","休",IF(O147="","",IF(OR(N147="土",N147="日",I147=1),IF(OR(O147="ダミー　特別展",O147="ダミー　特別展"),"◎",IF(OR(O147="夏　特別展",O147="秋　特別展",O147="春　特別展"),"◎","")),"")))</f>
        <v>◎</v>
      </c>
      <c r="X147" s="8"/>
      <c r="Y147" s="33" t="str">
        <f t="shared" si="152"/>
        <v>○</v>
      </c>
      <c r="Z147" s="8">
        <f>IF(L147="閉","",(IF(AND(M147&gt;=VLOOKUP(M147,データ!$E$3:$G$9,1,TRUE),M147&lt;=VLOOKUP(M147,データ!$E$3:$G$9,2,TRUE)),VLOOKUP(M147,データ!$E$3:$H$9,4,TRUE),0)+IF(AND(M147&gt;=VLOOKUP(M147,データ!$E$14:$G$21,1,TRUE),M147&lt;=VLOOKUP(M147,データ!$E$14:$G$21,2,TRUE)),VLOOKUP(M147,データ!$E$14:$H$21,4,TRUE),0)))</f>
        <v>5</v>
      </c>
      <c r="AA147" s="33" t="str">
        <f t="shared" si="153"/>
        <v>○</v>
      </c>
      <c r="AB147" s="227">
        <f t="shared" si="154"/>
        <v>0.41666666666666669</v>
      </c>
      <c r="AC147" s="227">
        <f t="shared" si="155"/>
        <v>0.70833333333333337</v>
      </c>
      <c r="AD147" s="228" t="str">
        <f>IF(K147=1,IF(ISERROR(VLOOKUP(M147,データ!$A$3:$C$23,2,FALSE)),"",VLOOKUP(M147,データ!$A$3:$C$23,2,FALSE)),(IF(ISERROR(VLOOKUP(M147,データ!$A$3:$C$23,2,FALSE)),"",VLOOKUP(M147,データ!$A$3:$C$23,2,FALSE))))</f>
        <v/>
      </c>
    </row>
    <row r="148" spans="1:30">
      <c r="A148" s="1">
        <f>IF(AND(M148&gt;=VLOOKUP(M148,データ!$K$3:$O$6,1,TRUE),M148&lt;=VLOOKUP(M148,データ!$K$3:$O$6,2,TRUE)),VLOOKUP(M148,データ!$K$3:$O$6,5,TRUE),"")</f>
        <v>1</v>
      </c>
      <c r="B148" s="74">
        <f>IF(AND(M148&gt;=VLOOKUP(M148,データ!$K$3:$O$6,1,TRUE),M148&lt;=VLOOKUP(M148,データ!$K$3:$O$6,2,TRUE)),VLOOKUP(M148,データ!$K$3:$O$6,3,TRUE),"")</f>
        <v>0.41666666666666669</v>
      </c>
      <c r="C148" s="1">
        <f>IF(AND(M148&gt;=VLOOKUP(M148,データ!$K$11:$O$16,1,TRUE),M148&lt;=VLOOKUP(M148,データ!$K$11:$O$16,2,TRUE)),VLOOKUP(M148,データ!$K$11:$O$16,5,TRUE),0)</f>
        <v>0</v>
      </c>
      <c r="D148" s="74" t="str">
        <f>IF(AND(M148&gt;=VLOOKUP(M148,データ!$K$11:$O$16,1,TRUE),M148&lt;=VLOOKUP(M148,データ!$K$11:$O$16,2,TRUE)),VLOOKUP(M148,データ!$K$11:$O$16,3,TRUE),"")</f>
        <v/>
      </c>
      <c r="E148" s="74">
        <f t="shared" si="144"/>
        <v>0.41666666666666669</v>
      </c>
      <c r="F148" s="75">
        <f>VLOOKUP(E148,データ!$K$20:$O$24,5,FALSE)</f>
        <v>0</v>
      </c>
      <c r="G148" s="74">
        <f>IF(AND(M148&gt;=VLOOKUP(M148,データ!$K$3:$O$6,1,TRUE),M148&lt;=VLOOKUP(M148,データ!$K$3:$O$6,2,TRUE)),VLOOKUP(M148,データ!$K$3:$O$6,4,TRUE),"")</f>
        <v>0.70833333333333337</v>
      </c>
      <c r="H148" s="256">
        <f>INDEX(データ!L$21:N$24,MATCH(配置表!E148,データ!K$21:K$24,0),MATCH(配置表!G148,データ!L$20:N$20,0))</f>
        <v>1</v>
      </c>
      <c r="I148" s="52" t="str">
        <f>IF(ISERROR(VLOOKUP(M148,データ!$A$3:$C$20,3,FALSE)),"",VLOOKUP(M148,データ!$A$3:$C$20,3,FALSE))</f>
        <v/>
      </c>
      <c r="J148" s="52" t="str">
        <f t="shared" si="145"/>
        <v/>
      </c>
      <c r="K148" s="53">
        <f t="shared" si="158"/>
        <v>0</v>
      </c>
      <c r="L148" s="28" t="str">
        <f t="shared" si="146"/>
        <v/>
      </c>
      <c r="M148" s="9">
        <f t="shared" si="159"/>
        <v>45879</v>
      </c>
      <c r="N148" s="10" t="str">
        <f t="shared" si="147"/>
        <v>日</v>
      </c>
      <c r="O148" s="62" t="str">
        <f>IF(AND(M148&gt;=VLOOKUP(M148,データ!$E$3:$G$9,1,TRUE),M148&lt;=VLOOKUP(M148,データ!$E$3:$G$9,2,TRUE)),VLOOKUP(M148,データ!$E$3:$G$9,3,TRUE),"")</f>
        <v>夏　特別展</v>
      </c>
      <c r="P148" s="67" t="str">
        <f>IF(AND(M148&gt;=VLOOKUP(M148,データ!$E$14:$G$21,1,TRUE),M148&lt;=VLOOKUP(M148,データ!$E$14:$G$21,2,TRUE)),VLOOKUP(M148,データ!$E$14:$G$21,3,TRUE),"")</f>
        <v>テーマ展</v>
      </c>
      <c r="Q148" s="44" t="str">
        <f t="shared" si="148"/>
        <v>○</v>
      </c>
      <c r="R148" s="45"/>
      <c r="S148" s="10" t="str">
        <f t="shared" si="165"/>
        <v>○</v>
      </c>
      <c r="T148" s="45"/>
      <c r="U148" s="33" t="str">
        <f t="shared" si="161"/>
        <v>●</v>
      </c>
      <c r="V148" s="32"/>
      <c r="W148" s="33" t="str">
        <f t="shared" si="166"/>
        <v>◎</v>
      </c>
      <c r="X148" s="8"/>
      <c r="Y148" s="10" t="str">
        <f t="shared" si="152"/>
        <v>○</v>
      </c>
      <c r="Z148" s="32">
        <f>IF(L148="閉","",(IF(AND(M148&gt;=VLOOKUP(M148,データ!$E$3:$G$9,1,TRUE),M148&lt;=VLOOKUP(M148,データ!$E$3:$G$9,2,TRUE)),VLOOKUP(M148,データ!$E$3:$H$9,4,TRUE),0)+IF(AND(M148&gt;=VLOOKUP(M148,データ!$E$14:$G$21,1,TRUE),M148&lt;=VLOOKUP(M148,データ!$E$14:$G$21,2,TRUE)),VLOOKUP(M148,データ!$E$14:$H$21,4,TRUE),0)))</f>
        <v>5</v>
      </c>
      <c r="AA148" s="33" t="str">
        <f t="shared" si="153"/>
        <v>○</v>
      </c>
      <c r="AB148" s="227">
        <f t="shared" si="154"/>
        <v>0.41666666666666669</v>
      </c>
      <c r="AC148" s="227">
        <f t="shared" si="155"/>
        <v>0.70833333333333337</v>
      </c>
      <c r="AD148" s="228" t="str">
        <f>IF(K148=1,IF(ISERROR(VLOOKUP(M148,データ!$A$3:$C$23,2,FALSE)),"",VLOOKUP(M148,データ!$A$3:$C$23,2,FALSE)),(IF(ISERROR(VLOOKUP(M148,データ!$A$3:$C$23,2,FALSE)),"",VLOOKUP(M148,データ!$A$3:$C$23,2,FALSE))))</f>
        <v/>
      </c>
    </row>
    <row r="149" spans="1:30">
      <c r="A149" s="1">
        <f>IF(AND(M149&gt;=VLOOKUP(M149,データ!$K$3:$O$6,1,TRUE),M149&lt;=VLOOKUP(M149,データ!$K$3:$O$6,2,TRUE)),VLOOKUP(M149,データ!$K$3:$O$6,5,TRUE),"")</f>
        <v>1</v>
      </c>
      <c r="B149" s="74">
        <f>IF(AND(M149&gt;=VLOOKUP(M149,データ!$K$3:$O$6,1,TRUE),M149&lt;=VLOOKUP(M149,データ!$K$3:$O$6,2,TRUE)),VLOOKUP(M149,データ!$K$3:$O$6,3,TRUE),"")</f>
        <v>0.41666666666666669</v>
      </c>
      <c r="C149" s="1">
        <f>IF(AND(M149&gt;=VLOOKUP(M149,データ!$K$11:$O$16,1,TRUE),M149&lt;=VLOOKUP(M149,データ!$K$11:$O$16,2,TRUE)),VLOOKUP(M149,データ!$K$11:$O$16,5,TRUE),0)</f>
        <v>0</v>
      </c>
      <c r="D149" s="74" t="str">
        <f>IF(AND(M149&gt;=VLOOKUP(M149,データ!$K$11:$O$16,1,TRUE),M149&lt;=VLOOKUP(M149,データ!$K$11:$O$16,2,TRUE)),VLOOKUP(M149,データ!$K$11:$O$16,3,TRUE),"")</f>
        <v/>
      </c>
      <c r="E149" s="74">
        <f t="shared" si="144"/>
        <v>0.41666666666666669</v>
      </c>
      <c r="F149" s="75">
        <f>VLOOKUP(E149,データ!$K$20:$O$24,5,FALSE)</f>
        <v>0</v>
      </c>
      <c r="G149" s="74">
        <f>IF(AND(M149&gt;=VLOOKUP(M149,データ!$K$3:$O$6,1,TRUE),M149&lt;=VLOOKUP(M149,データ!$K$3:$O$6,2,TRUE)),VLOOKUP(M149,データ!$K$3:$O$6,4,TRUE),"")</f>
        <v>0.70833333333333337</v>
      </c>
      <c r="H149" s="256">
        <f>INDEX(データ!L$21:N$24,MATCH(配置表!E149,データ!K$21:K$24,0),MATCH(配置表!G149,データ!L$20:N$20,0))</f>
        <v>1</v>
      </c>
      <c r="I149" s="52">
        <f>IF(ISERROR(VLOOKUP(M149,データ!$A$3:$C$20,3,FALSE)),"",VLOOKUP(M149,データ!$A$3:$C$20,3,FALSE))</f>
        <v>1</v>
      </c>
      <c r="J149" s="52">
        <f t="shared" si="145"/>
        <v>1</v>
      </c>
      <c r="K149" s="53">
        <f t="shared" si="158"/>
        <v>2</v>
      </c>
      <c r="L149" s="28" t="str">
        <f t="shared" si="146"/>
        <v/>
      </c>
      <c r="M149" s="9">
        <f t="shared" si="159"/>
        <v>45880</v>
      </c>
      <c r="N149" s="10" t="str">
        <f t="shared" si="147"/>
        <v>月</v>
      </c>
      <c r="O149" s="62" t="str">
        <f>IF(AND(M149&gt;=VLOOKUP(M149,データ!$E$3:$G$9,1,TRUE),M149&lt;=VLOOKUP(M149,データ!$E$3:$G$9,2,TRUE)),VLOOKUP(M149,データ!$E$3:$G$9,3,TRUE),"")</f>
        <v>夏　特別展</v>
      </c>
      <c r="P149" s="67" t="str">
        <f>IF(AND(M149&gt;=VLOOKUP(M149,データ!$E$14:$G$21,1,TRUE),M149&lt;=VLOOKUP(M149,データ!$E$14:$G$21,2,TRUE)),VLOOKUP(M149,データ!$E$14:$G$21,3,TRUE),"")</f>
        <v>テーマ展</v>
      </c>
      <c r="Q149" s="44" t="str">
        <f t="shared" si="148"/>
        <v>○</v>
      </c>
      <c r="R149" s="8"/>
      <c r="S149" s="10" t="str">
        <f t="shared" si="165"/>
        <v>○</v>
      </c>
      <c r="T149" s="45"/>
      <c r="U149" s="33" t="str">
        <f t="shared" si="161"/>
        <v>●</v>
      </c>
      <c r="V149" s="32"/>
      <c r="W149" s="33" t="str">
        <f t="shared" si="166"/>
        <v>◎</v>
      </c>
      <c r="X149" s="8"/>
      <c r="Y149" s="33" t="str">
        <f t="shared" si="152"/>
        <v>○</v>
      </c>
      <c r="Z149" s="8">
        <f>IF(L149="閉","",(IF(AND(M149&gt;=VLOOKUP(M149,データ!$E$3:$G$9,1,TRUE),M149&lt;=VLOOKUP(M149,データ!$E$3:$G$9,2,TRUE)),VLOOKUP(M149,データ!$E$3:$H$9,4,TRUE),0)+IF(AND(M149&gt;=VLOOKUP(M149,データ!$E$14:$G$21,1,TRUE),M149&lt;=VLOOKUP(M149,データ!$E$14:$G$21,2,TRUE)),VLOOKUP(M149,データ!$E$14:$H$21,4,TRUE),0)))</f>
        <v>5</v>
      </c>
      <c r="AA149" s="33" t="str">
        <f t="shared" si="153"/>
        <v>○</v>
      </c>
      <c r="AB149" s="227">
        <f t="shared" si="154"/>
        <v>0.41666666666666669</v>
      </c>
      <c r="AC149" s="227">
        <f t="shared" si="155"/>
        <v>0.70833333333333337</v>
      </c>
      <c r="AD149" s="228" t="str">
        <f>IF(K149=1,IF(ISERROR(VLOOKUP(M149,データ!$A$3:$C$23,2,FALSE)),"",VLOOKUP(M149,データ!$A$3:$C$23,2,FALSE)),(IF(ISERROR(VLOOKUP(M149,データ!$A$3:$C$23,2,FALSE)),"",VLOOKUP(M149,データ!$A$3:$C$23,2,FALSE))))</f>
        <v>山の日</v>
      </c>
    </row>
    <row r="150" spans="1:30">
      <c r="A150" s="1">
        <f>IF(AND(M150&gt;=VLOOKUP(M150,データ!$K$3:$O$6,1,TRUE),M150&lt;=VLOOKUP(M150,データ!$K$3:$O$6,2,TRUE)),VLOOKUP(M150,データ!$K$3:$O$6,5,TRUE),"")</f>
        <v>1</v>
      </c>
      <c r="B150" s="74">
        <f>IF(AND(M150&gt;=VLOOKUP(M150,データ!$K$3:$O$6,1,TRUE),M150&lt;=VLOOKUP(M150,データ!$K$3:$O$6,2,TRUE)),VLOOKUP(M150,データ!$K$3:$O$6,3,TRUE),"")</f>
        <v>0.41666666666666669</v>
      </c>
      <c r="C150" s="1">
        <f>IF(AND(M150&gt;=VLOOKUP(M150,データ!$K$11:$O$16,1,TRUE),M150&lt;=VLOOKUP(M150,データ!$K$11:$O$16,2,TRUE)),VLOOKUP(M150,データ!$K$11:$O$16,5,TRUE),0)</f>
        <v>0</v>
      </c>
      <c r="D150" s="74" t="str">
        <f>IF(AND(M150&gt;=VLOOKUP(M150,データ!$K$11:$O$16,1,TRUE),M150&lt;=VLOOKUP(M150,データ!$K$11:$O$16,2,TRUE)),VLOOKUP(M150,データ!$K$11:$O$16,3,TRUE),"")</f>
        <v/>
      </c>
      <c r="E150" s="74">
        <f t="shared" si="144"/>
        <v>0.41666666666666669</v>
      </c>
      <c r="F150" s="75">
        <f>VLOOKUP(E150,データ!$K$20:$O$24,5,FALSE)</f>
        <v>0</v>
      </c>
      <c r="G150" s="74">
        <f>IF(AND(M150&gt;=VLOOKUP(M150,データ!$K$3:$O$6,1,TRUE),M150&lt;=VLOOKUP(M150,データ!$K$3:$O$6,2,TRUE)),VLOOKUP(M150,データ!$K$3:$O$6,4,TRUE),"")</f>
        <v>0.70833333333333337</v>
      </c>
      <c r="H150" s="256">
        <f>INDEX(データ!L$21:N$24,MATCH(配置表!E150,データ!K$21:K$24,0),MATCH(配置表!G150,データ!L$20:N$20,0))</f>
        <v>1</v>
      </c>
      <c r="I150" s="52" t="str">
        <f>IF(ISERROR(VLOOKUP(M150,データ!$A$3:$C$20,3,FALSE)),"",VLOOKUP(M150,データ!$A$3:$C$20,3,FALSE))</f>
        <v/>
      </c>
      <c r="J150" s="52" t="str">
        <f t="shared" si="145"/>
        <v/>
      </c>
      <c r="K150" s="53">
        <f t="shared" si="158"/>
        <v>1</v>
      </c>
      <c r="L150" s="28" t="str">
        <f t="shared" si="146"/>
        <v>閉</v>
      </c>
      <c r="M150" s="9">
        <f t="shared" si="159"/>
        <v>45881</v>
      </c>
      <c r="N150" s="10" t="str">
        <f t="shared" si="147"/>
        <v>火</v>
      </c>
      <c r="O150" s="62" t="str">
        <f>IF(AND(M150&gt;=VLOOKUP(M150,データ!$E$3:$G$9,1,TRUE),M150&lt;=VLOOKUP(M150,データ!$E$3:$G$9,2,TRUE)),VLOOKUP(M150,データ!$E$3:$G$9,3,TRUE),"")</f>
        <v>夏　特別展</v>
      </c>
      <c r="P150" s="67" t="str">
        <f>IF(AND(M150&gt;=VLOOKUP(M150,データ!$E$14:$G$21,1,TRUE),M150&lt;=VLOOKUP(M150,データ!$E$14:$G$21,2,TRUE)),VLOOKUP(M150,データ!$E$14:$G$21,3,TRUE),"")</f>
        <v>テーマ展</v>
      </c>
      <c r="Q150" s="44" t="str">
        <f t="shared" si="148"/>
        <v>休</v>
      </c>
      <c r="R150" s="45"/>
      <c r="S150" s="10" t="str">
        <f t="shared" si="160"/>
        <v>休</v>
      </c>
      <c r="T150" s="45"/>
      <c r="U150" s="10" t="str">
        <f t="shared" si="161"/>
        <v>休</v>
      </c>
      <c r="V150" s="32"/>
      <c r="W150" s="33" t="str">
        <f t="shared" si="162"/>
        <v>休</v>
      </c>
      <c r="X150" s="8"/>
      <c r="Y150" s="33" t="str">
        <f t="shared" si="152"/>
        <v>休</v>
      </c>
      <c r="Z150" s="8" t="str">
        <f>IF(L150="閉","",(IF(AND(M150&gt;=VLOOKUP(M150,データ!$E$3:$G$9,1,TRUE),M150&lt;=VLOOKUP(M150,データ!$E$3:$G$9,2,TRUE)),VLOOKUP(M150,データ!$E$3:$H$9,4,TRUE),0)+IF(AND(M150&gt;=VLOOKUP(M150,データ!$E$14:$G$21,1,TRUE),M150&lt;=VLOOKUP(M150,データ!$E$14:$G$21,2,TRUE)),VLOOKUP(M150,データ!$E$14:$H$21,4,TRUE),0)))</f>
        <v/>
      </c>
      <c r="AA150" s="33" t="str">
        <f t="shared" si="153"/>
        <v>休</v>
      </c>
      <c r="AB150" s="227" t="str">
        <f t="shared" si="154"/>
        <v/>
      </c>
      <c r="AC150" s="227" t="str">
        <f t="shared" si="155"/>
        <v/>
      </c>
      <c r="AD150" s="228" t="str">
        <f>IF(K150=1,IF(ISERROR(VLOOKUP(M150,データ!$A$3:$C$23,2,FALSE)),"",VLOOKUP(M150,データ!$A$3:$C$23,2,FALSE)),(IF(ISERROR(VLOOKUP(M150,データ!$A$3:$C$23,2,FALSE)),"",VLOOKUP(M150,データ!$A$3:$C$23,2,FALSE))))</f>
        <v/>
      </c>
    </row>
    <row r="151" spans="1:30">
      <c r="A151" s="1">
        <f>IF(AND(M151&gt;=VLOOKUP(M151,データ!$K$3:$O$6,1,TRUE),M151&lt;=VLOOKUP(M151,データ!$K$3:$O$6,2,TRUE)),VLOOKUP(M151,データ!$K$3:$O$6,5,TRUE),"")</f>
        <v>1</v>
      </c>
      <c r="B151" s="74">
        <f>IF(AND(M151&gt;=VLOOKUP(M151,データ!$K$3:$O$6,1,TRUE),M151&lt;=VLOOKUP(M151,データ!$K$3:$O$6,2,TRUE)),VLOOKUP(M151,データ!$K$3:$O$6,3,TRUE),"")</f>
        <v>0.41666666666666669</v>
      </c>
      <c r="C151" s="1">
        <f>IF(AND(M151&gt;=VLOOKUP(M151,データ!$K$11:$O$16,1,TRUE),M151&lt;=VLOOKUP(M151,データ!$K$11:$O$16,2,TRUE)),VLOOKUP(M151,データ!$K$11:$O$16,5,TRUE),0)</f>
        <v>0</v>
      </c>
      <c r="D151" s="74" t="str">
        <f>IF(AND(M151&gt;=VLOOKUP(M151,データ!$K$11:$O$16,1,TRUE),M151&lt;=VLOOKUP(M151,データ!$K$11:$O$16,2,TRUE)),VLOOKUP(M151,データ!$K$11:$O$16,3,TRUE),"")</f>
        <v/>
      </c>
      <c r="E151" s="74">
        <f t="shared" si="144"/>
        <v>0.41666666666666669</v>
      </c>
      <c r="F151" s="75">
        <f>VLOOKUP(E151,データ!$K$20:$O$24,5,FALSE)</f>
        <v>0</v>
      </c>
      <c r="G151" s="74">
        <f>IF(AND(M151&gt;=VLOOKUP(M151,データ!$K$3:$O$6,1,TRUE),M151&lt;=VLOOKUP(M151,データ!$K$3:$O$6,2,TRUE)),VLOOKUP(M151,データ!$K$3:$O$6,4,TRUE),"")</f>
        <v>0.70833333333333337</v>
      </c>
      <c r="H151" s="256">
        <f>INDEX(データ!L$21:N$24,MATCH(配置表!E151,データ!K$21:K$24,0),MATCH(配置表!G151,データ!L$20:N$20,0))</f>
        <v>1</v>
      </c>
      <c r="I151" s="52" t="str">
        <f>IF(ISERROR(VLOOKUP(M151,データ!$A$3:$C$20,3,FALSE)),"",VLOOKUP(M151,データ!$A$3:$C$20,3,FALSE))</f>
        <v/>
      </c>
      <c r="J151" s="52" t="str">
        <f t="shared" si="145"/>
        <v/>
      </c>
      <c r="K151" s="53">
        <f t="shared" si="158"/>
        <v>0</v>
      </c>
      <c r="L151" s="28" t="str">
        <f t="shared" si="146"/>
        <v/>
      </c>
      <c r="M151" s="9">
        <f t="shared" si="159"/>
        <v>45882</v>
      </c>
      <c r="N151" s="10" t="str">
        <f t="shared" si="147"/>
        <v>水</v>
      </c>
      <c r="O151" s="62" t="str">
        <f>IF(AND(M151&gt;=VLOOKUP(M151,データ!$E$3:$G$9,1,TRUE),M151&lt;=VLOOKUP(M151,データ!$E$3:$G$9,2,TRUE)),VLOOKUP(M151,データ!$E$3:$G$9,3,TRUE),"")</f>
        <v>夏　特別展</v>
      </c>
      <c r="P151" s="67" t="str">
        <f>IF(AND(M151&gt;=VLOOKUP(M151,データ!$E$14:$G$21,1,TRUE),M151&lt;=VLOOKUP(M151,データ!$E$14:$G$21,2,TRUE)),VLOOKUP(M151,データ!$E$14:$G$21,3,TRUE),"")</f>
        <v>テーマ展</v>
      </c>
      <c r="Q151" s="44" t="str">
        <f t="shared" si="148"/>
        <v>○</v>
      </c>
      <c r="R151" s="45"/>
      <c r="S151" s="33" t="str">
        <f t="shared" ref="S151:S153" si="167">IF(H151="閉","休",IF(K151="","",IF(OR(J151="土",J151="日",E151=1),IF(OR(K151="ダミー　特別展",K151="ダミー　特別展"),"◎",IF(OR(K151="夏　特別展",K151="秋　特別展",K151="春　特別展"),"○","")),"")))</f>
        <v/>
      </c>
      <c r="T151" s="45"/>
      <c r="U151" s="33" t="str">
        <f t="shared" si="161"/>
        <v>●</v>
      </c>
      <c r="V151" s="32"/>
      <c r="W151" s="33" t="str">
        <f t="shared" ref="W151:W153" si="168">IF(P151="閉","休",IF(O151="","",IF(O151="冬　特別展",IF(OR(N151="土",N151="日",M151=1),"○",""),"○")))</f>
        <v>○</v>
      </c>
      <c r="X151" s="8"/>
      <c r="Y151" s="33" t="str">
        <f t="shared" si="152"/>
        <v>○</v>
      </c>
      <c r="Z151" s="8">
        <f>IF(L151="閉","",(IF(AND(M151&gt;=VLOOKUP(M151,データ!$E$3:$G$9,1,TRUE),M151&lt;=VLOOKUP(M151,データ!$E$3:$G$9,2,TRUE)),VLOOKUP(M151,データ!$E$3:$H$9,4,TRUE),0)+IF(AND(M151&gt;=VLOOKUP(M151,データ!$E$14:$G$21,1,TRUE),M151&lt;=VLOOKUP(M151,データ!$E$14:$G$21,2,TRUE)),VLOOKUP(M151,データ!$E$14:$H$21,4,TRUE),0)))</f>
        <v>5</v>
      </c>
      <c r="AA151" s="33" t="str">
        <f t="shared" si="153"/>
        <v>○</v>
      </c>
      <c r="AB151" s="227">
        <f t="shared" si="154"/>
        <v>0.41666666666666669</v>
      </c>
      <c r="AC151" s="227">
        <f t="shared" si="155"/>
        <v>0.70833333333333337</v>
      </c>
      <c r="AD151" s="228" t="str">
        <f>IF(K151=1,IF(ISERROR(VLOOKUP(M151,データ!$A$3:$C$23,2,FALSE)),"",VLOOKUP(M151,データ!$A$3:$C$23,2,FALSE)),(IF(ISERROR(VLOOKUP(M151,データ!$A$3:$C$23,2,FALSE)),"",VLOOKUP(M151,データ!$A$3:$C$23,2,FALSE))))</f>
        <v/>
      </c>
    </row>
    <row r="152" spans="1:30">
      <c r="A152" s="1">
        <f>IF(AND(M152&gt;=VLOOKUP(M152,データ!$K$3:$O$6,1,TRUE),M152&lt;=VLOOKUP(M152,データ!$K$3:$O$6,2,TRUE)),VLOOKUP(M152,データ!$K$3:$O$6,5,TRUE),"")</f>
        <v>1</v>
      </c>
      <c r="B152" s="74">
        <f>IF(AND(M152&gt;=VLOOKUP(M152,データ!$K$3:$O$6,1,TRUE),M152&lt;=VLOOKUP(M152,データ!$K$3:$O$6,2,TRUE)),VLOOKUP(M152,データ!$K$3:$O$6,3,TRUE),"")</f>
        <v>0.41666666666666669</v>
      </c>
      <c r="C152" s="1">
        <f>IF(AND(M152&gt;=VLOOKUP(M152,データ!$K$11:$O$16,1,TRUE),M152&lt;=VLOOKUP(M152,データ!$K$11:$O$16,2,TRUE)),VLOOKUP(M152,データ!$K$11:$O$16,5,TRUE),0)</f>
        <v>0</v>
      </c>
      <c r="D152" s="74" t="str">
        <f>IF(AND(M152&gt;=VLOOKUP(M152,データ!$K$11:$O$16,1,TRUE),M152&lt;=VLOOKUP(M152,データ!$K$11:$O$16,2,TRUE)),VLOOKUP(M152,データ!$K$11:$O$16,3,TRUE),"")</f>
        <v/>
      </c>
      <c r="E152" s="74">
        <f t="shared" si="144"/>
        <v>0.41666666666666669</v>
      </c>
      <c r="F152" s="75">
        <f>VLOOKUP(E152,データ!$K$20:$O$24,5,FALSE)</f>
        <v>0</v>
      </c>
      <c r="G152" s="74">
        <f>IF(AND(M152&gt;=VLOOKUP(M152,データ!$K$3:$O$6,1,TRUE),M152&lt;=VLOOKUP(M152,データ!$K$3:$O$6,2,TRUE)),VLOOKUP(M152,データ!$K$3:$O$6,4,TRUE),"")</f>
        <v>0.70833333333333337</v>
      </c>
      <c r="H152" s="256">
        <f>INDEX(データ!L$21:N$24,MATCH(配置表!E152,データ!K$21:K$24,0),MATCH(配置表!G152,データ!L$20:N$20,0))</f>
        <v>1</v>
      </c>
      <c r="I152" s="52" t="str">
        <f>IF(ISERROR(VLOOKUP(M152,データ!$A$3:$C$20,3,FALSE)),"",VLOOKUP(M152,データ!$A$3:$C$20,3,FALSE))</f>
        <v/>
      </c>
      <c r="J152" s="52" t="str">
        <f t="shared" si="145"/>
        <v/>
      </c>
      <c r="K152" s="53">
        <f t="shared" si="158"/>
        <v>0</v>
      </c>
      <c r="L152" s="28" t="str">
        <f t="shared" si="146"/>
        <v/>
      </c>
      <c r="M152" s="9">
        <f t="shared" si="159"/>
        <v>45883</v>
      </c>
      <c r="N152" s="10" t="str">
        <f t="shared" si="147"/>
        <v>木</v>
      </c>
      <c r="O152" s="62" t="str">
        <f>IF(AND(M152&gt;=VLOOKUP(M152,データ!$E$3:$G$9,1,TRUE),M152&lt;=VLOOKUP(M152,データ!$E$3:$G$9,2,TRUE)),VLOOKUP(M152,データ!$E$3:$G$9,3,TRUE),"")</f>
        <v>夏　特別展</v>
      </c>
      <c r="P152" s="67" t="str">
        <f>IF(AND(M152&gt;=VLOOKUP(M152,データ!$E$14:$G$21,1,TRUE),M152&lt;=VLOOKUP(M152,データ!$E$14:$G$21,2,TRUE)),VLOOKUP(M152,データ!$E$14:$G$21,3,TRUE),"")</f>
        <v>テーマ展</v>
      </c>
      <c r="Q152" s="44" t="str">
        <f t="shared" si="148"/>
        <v>○</v>
      </c>
      <c r="R152" s="45"/>
      <c r="S152" s="33" t="str">
        <f t="shared" si="167"/>
        <v/>
      </c>
      <c r="T152" s="45"/>
      <c r="U152" s="33" t="str">
        <f t="shared" si="161"/>
        <v>●</v>
      </c>
      <c r="V152" s="32"/>
      <c r="W152" s="33" t="str">
        <f t="shared" si="168"/>
        <v>○</v>
      </c>
      <c r="X152" s="8"/>
      <c r="Y152" s="33" t="str">
        <f t="shared" si="152"/>
        <v>○</v>
      </c>
      <c r="Z152" s="8">
        <f>IF(L152="閉","",(IF(AND(M152&gt;=VLOOKUP(M152,データ!$E$3:$G$9,1,TRUE),M152&lt;=VLOOKUP(M152,データ!$E$3:$G$9,2,TRUE)),VLOOKUP(M152,データ!$E$3:$H$9,4,TRUE),0)+IF(AND(M152&gt;=VLOOKUP(M152,データ!$E$14:$G$21,1,TRUE),M152&lt;=VLOOKUP(M152,データ!$E$14:$G$21,2,TRUE)),VLOOKUP(M152,データ!$E$14:$H$21,4,TRUE),0)))</f>
        <v>5</v>
      </c>
      <c r="AA152" s="33" t="str">
        <f t="shared" si="153"/>
        <v>○</v>
      </c>
      <c r="AB152" s="227">
        <f t="shared" si="154"/>
        <v>0.41666666666666669</v>
      </c>
      <c r="AC152" s="227">
        <f t="shared" si="155"/>
        <v>0.70833333333333337</v>
      </c>
      <c r="AD152" s="228" t="str">
        <f>IF(K152=1,IF(ISERROR(VLOOKUP(M152,データ!$A$3:$C$23,2,FALSE)),"",VLOOKUP(M152,データ!$A$3:$C$23,2,FALSE)),(IF(ISERROR(VLOOKUP(M152,データ!$A$3:$C$23,2,FALSE)),"",VLOOKUP(M152,データ!$A$3:$C$23,2,FALSE))))</f>
        <v/>
      </c>
    </row>
    <row r="153" spans="1:30">
      <c r="A153" s="1">
        <f>IF(AND(M153&gt;=VLOOKUP(M153,データ!$K$3:$O$6,1,TRUE),M153&lt;=VLOOKUP(M153,データ!$K$3:$O$6,2,TRUE)),VLOOKUP(M153,データ!$K$3:$O$6,5,TRUE),"")</f>
        <v>1</v>
      </c>
      <c r="B153" s="74">
        <f>IF(AND(M153&gt;=VLOOKUP(M153,データ!$K$3:$O$6,1,TRUE),M153&lt;=VLOOKUP(M153,データ!$K$3:$O$6,2,TRUE)),VLOOKUP(M153,データ!$K$3:$O$6,3,TRUE),"")</f>
        <v>0.41666666666666669</v>
      </c>
      <c r="C153" s="1">
        <f>IF(AND(M153&gt;=VLOOKUP(M153,データ!$K$11:$O$16,1,TRUE),M153&lt;=VLOOKUP(M153,データ!$K$11:$O$16,2,TRUE)),VLOOKUP(M153,データ!$K$11:$O$16,5,TRUE),0)</f>
        <v>0</v>
      </c>
      <c r="D153" s="74" t="str">
        <f>IF(AND(M153&gt;=VLOOKUP(M153,データ!$K$11:$O$16,1,TRUE),M153&lt;=VLOOKUP(M153,データ!$K$11:$O$16,2,TRUE)),VLOOKUP(M153,データ!$K$11:$O$16,3,TRUE),"")</f>
        <v/>
      </c>
      <c r="E153" s="74">
        <f t="shared" si="144"/>
        <v>0.41666666666666669</v>
      </c>
      <c r="F153" s="75">
        <f>VLOOKUP(E153,データ!$K$20:$O$24,5,FALSE)</f>
        <v>0</v>
      </c>
      <c r="G153" s="74">
        <f>IF(AND(M153&gt;=VLOOKUP(M153,データ!$K$3:$O$6,1,TRUE),M153&lt;=VLOOKUP(M153,データ!$K$3:$O$6,2,TRUE)),VLOOKUP(M153,データ!$K$3:$O$6,4,TRUE),"")</f>
        <v>0.70833333333333337</v>
      </c>
      <c r="H153" s="256">
        <f>INDEX(データ!L$21:N$24,MATCH(配置表!E153,データ!K$21:K$24,0),MATCH(配置表!G153,データ!L$20:N$20,0))</f>
        <v>1</v>
      </c>
      <c r="I153" s="52" t="str">
        <f>IF(ISERROR(VLOOKUP(M153,データ!$A$3:$C$20,3,FALSE)),"",VLOOKUP(M153,データ!$A$3:$C$20,3,FALSE))</f>
        <v/>
      </c>
      <c r="J153" s="52" t="str">
        <f t="shared" si="145"/>
        <v/>
      </c>
      <c r="K153" s="53">
        <f t="shared" si="158"/>
        <v>0</v>
      </c>
      <c r="L153" s="28" t="str">
        <f t="shared" si="146"/>
        <v/>
      </c>
      <c r="M153" s="9">
        <f t="shared" si="159"/>
        <v>45884</v>
      </c>
      <c r="N153" s="10" t="str">
        <f t="shared" si="147"/>
        <v>金</v>
      </c>
      <c r="O153" s="62" t="str">
        <f>IF(AND(M153&gt;=VLOOKUP(M153,データ!$E$3:$G$9,1,TRUE),M153&lt;=VLOOKUP(M153,データ!$E$3:$G$9,2,TRUE)),VLOOKUP(M153,データ!$E$3:$G$9,3,TRUE),"")</f>
        <v>夏　特別展</v>
      </c>
      <c r="P153" s="67" t="str">
        <f>IF(AND(M153&gt;=VLOOKUP(M153,データ!$E$14:$G$21,1,TRUE),M153&lt;=VLOOKUP(M153,データ!$E$14:$G$21,2,TRUE)),VLOOKUP(M153,データ!$E$14:$G$21,3,TRUE),"")</f>
        <v>テーマ展</v>
      </c>
      <c r="Q153" s="44" t="str">
        <f t="shared" si="148"/>
        <v>○</v>
      </c>
      <c r="R153" s="45"/>
      <c r="S153" s="33" t="str">
        <f t="shared" si="167"/>
        <v/>
      </c>
      <c r="T153" s="45"/>
      <c r="U153" s="33" t="str">
        <f t="shared" si="161"/>
        <v>●</v>
      </c>
      <c r="V153" s="32"/>
      <c r="W153" s="33" t="str">
        <f t="shared" si="168"/>
        <v>○</v>
      </c>
      <c r="X153" s="8"/>
      <c r="Y153" s="33" t="str">
        <f t="shared" si="152"/>
        <v>○</v>
      </c>
      <c r="Z153" s="8">
        <f>IF(L153="閉","",(IF(AND(M153&gt;=VLOOKUP(M153,データ!$E$3:$G$9,1,TRUE),M153&lt;=VLOOKUP(M153,データ!$E$3:$G$9,2,TRUE)),VLOOKUP(M153,データ!$E$3:$H$9,4,TRUE),0)+IF(AND(M153&gt;=VLOOKUP(M153,データ!$E$14:$G$21,1,TRUE),M153&lt;=VLOOKUP(M153,データ!$E$14:$G$21,2,TRUE)),VLOOKUP(M153,データ!$E$14:$H$21,4,TRUE),0)))</f>
        <v>5</v>
      </c>
      <c r="AA153" s="33" t="str">
        <f t="shared" si="153"/>
        <v>○</v>
      </c>
      <c r="AB153" s="227">
        <f t="shared" si="154"/>
        <v>0.41666666666666669</v>
      </c>
      <c r="AC153" s="227">
        <f t="shared" si="155"/>
        <v>0.70833333333333337</v>
      </c>
      <c r="AD153" s="228" t="str">
        <f>IF(K153=1,IF(ISERROR(VLOOKUP(M153,データ!$A$3:$C$23,2,FALSE)),"",VLOOKUP(M153,データ!$A$3:$C$23,2,FALSE)),(IF(ISERROR(VLOOKUP(M153,データ!$A$3:$C$23,2,FALSE)),"",VLOOKUP(M153,データ!$A$3:$C$23,2,FALSE))))</f>
        <v/>
      </c>
    </row>
    <row r="154" spans="1:30">
      <c r="A154" s="1">
        <f>IF(AND(M154&gt;=VLOOKUP(M154,データ!$K$3:$O$6,1,TRUE),M154&lt;=VLOOKUP(M154,データ!$K$3:$O$6,2,TRUE)),VLOOKUP(M154,データ!$K$3:$O$6,5,TRUE),"")</f>
        <v>1</v>
      </c>
      <c r="B154" s="74">
        <f>IF(AND(M154&gt;=VLOOKUP(M154,データ!$K$3:$O$6,1,TRUE),M154&lt;=VLOOKUP(M154,データ!$K$3:$O$6,2,TRUE)),VLOOKUP(M154,データ!$K$3:$O$6,3,TRUE),"")</f>
        <v>0.41666666666666669</v>
      </c>
      <c r="C154" s="1">
        <f>IF(AND(M154&gt;=VLOOKUP(M154,データ!$K$11:$O$16,1,TRUE),M154&lt;=VLOOKUP(M154,データ!$K$11:$O$16,2,TRUE)),VLOOKUP(M154,データ!$K$11:$O$16,5,TRUE),0)</f>
        <v>0</v>
      </c>
      <c r="D154" s="74" t="str">
        <f>IF(AND(M154&gt;=VLOOKUP(M154,データ!$K$11:$O$16,1,TRUE),M154&lt;=VLOOKUP(M154,データ!$K$11:$O$16,2,TRUE)),VLOOKUP(M154,データ!$K$11:$O$16,3,TRUE),"")</f>
        <v/>
      </c>
      <c r="E154" s="74">
        <f t="shared" si="144"/>
        <v>0.41666666666666669</v>
      </c>
      <c r="F154" s="75">
        <f>VLOOKUP(E154,データ!$K$20:$O$24,5,FALSE)</f>
        <v>0</v>
      </c>
      <c r="G154" s="74">
        <f>IF(AND(M154&gt;=VLOOKUP(M154,データ!$K$3:$O$6,1,TRUE),M154&lt;=VLOOKUP(M154,データ!$K$3:$O$6,2,TRUE)),VLOOKUP(M154,データ!$K$3:$O$6,4,TRUE),"")</f>
        <v>0.70833333333333337</v>
      </c>
      <c r="H154" s="256">
        <f>INDEX(データ!L$21:N$24,MATCH(配置表!E154,データ!K$21:K$24,0),MATCH(配置表!G154,データ!L$20:N$20,0))</f>
        <v>1</v>
      </c>
      <c r="I154" s="52" t="str">
        <f>IF(ISERROR(VLOOKUP(M154,データ!$A$3:$C$20,3,FALSE)),"",VLOOKUP(M154,データ!$A$3:$C$20,3,FALSE))</f>
        <v/>
      </c>
      <c r="J154" s="52" t="str">
        <f t="shared" si="145"/>
        <v/>
      </c>
      <c r="K154" s="53">
        <f t="shared" si="158"/>
        <v>0</v>
      </c>
      <c r="L154" s="28" t="str">
        <f t="shared" si="146"/>
        <v/>
      </c>
      <c r="M154" s="9">
        <f t="shared" si="159"/>
        <v>45885</v>
      </c>
      <c r="N154" s="10" t="str">
        <f t="shared" si="147"/>
        <v>土</v>
      </c>
      <c r="O154" s="62" t="str">
        <f>IF(AND(M154&gt;=VLOOKUP(M154,データ!$E$3:$G$9,1,TRUE),M154&lt;=VLOOKUP(M154,データ!$E$3:$G$9,2,TRUE)),VLOOKUP(M154,データ!$E$3:$G$9,3,TRUE),"")</f>
        <v>夏　特別展</v>
      </c>
      <c r="P154" s="67" t="str">
        <f>IF(AND(M154&gt;=VLOOKUP(M154,データ!$E$14:$G$21,1,TRUE),M154&lt;=VLOOKUP(M154,データ!$E$14:$G$21,2,TRUE)),VLOOKUP(M154,データ!$E$14:$G$21,3,TRUE),"")</f>
        <v>テーマ展</v>
      </c>
      <c r="Q154" s="44" t="str">
        <f t="shared" si="148"/>
        <v>○</v>
      </c>
      <c r="R154" s="45"/>
      <c r="S154" s="10" t="str">
        <f t="shared" ref="S154:S155" si="169">IF(L154="閉","休",IF(O154="","",IF(O154="冬　特別展",IF(OR(N154="土",N154="日",I154=1),"○",""),"○")))</f>
        <v>○</v>
      </c>
      <c r="T154" s="45"/>
      <c r="U154" s="33" t="str">
        <f t="shared" si="161"/>
        <v>●</v>
      </c>
      <c r="V154" s="32"/>
      <c r="W154" s="33" t="str">
        <f t="shared" ref="W154:W155" si="170">IF(L154="閉","休",IF(O154="","",IF(OR(N154="土",N154="日",I154=1),IF(OR(O154="ダミー　特別展",O154="ダミー　特別展"),"◎",IF(OR(O154="夏　特別展",O154="秋　特別展",O154="春　特別展"),"◎","")),"")))</f>
        <v>◎</v>
      </c>
      <c r="X154" s="8"/>
      <c r="Y154" s="33" t="str">
        <f t="shared" si="152"/>
        <v>○</v>
      </c>
      <c r="Z154" s="8">
        <f>IF(L154="閉","",(IF(AND(M154&gt;=VLOOKUP(M154,データ!$E$3:$G$9,1,TRUE),M154&lt;=VLOOKUP(M154,データ!$E$3:$G$9,2,TRUE)),VLOOKUP(M154,データ!$E$3:$H$9,4,TRUE),0)+IF(AND(M154&gt;=VLOOKUP(M154,データ!$E$14:$G$21,1,TRUE),M154&lt;=VLOOKUP(M154,データ!$E$14:$G$21,2,TRUE)),VLOOKUP(M154,データ!$E$14:$H$21,4,TRUE),0)))</f>
        <v>5</v>
      </c>
      <c r="AA154" s="33" t="str">
        <f t="shared" si="153"/>
        <v>○</v>
      </c>
      <c r="AB154" s="227">
        <f t="shared" si="154"/>
        <v>0.41666666666666669</v>
      </c>
      <c r="AC154" s="227">
        <f t="shared" si="155"/>
        <v>0.70833333333333337</v>
      </c>
      <c r="AD154" s="228" t="str">
        <f>IF(K154=1,IF(ISERROR(VLOOKUP(M154,データ!$A$3:$C$23,2,FALSE)),"",VLOOKUP(M154,データ!$A$3:$C$23,2,FALSE)),(IF(ISERROR(VLOOKUP(M154,データ!$A$3:$C$23,2,FALSE)),"",VLOOKUP(M154,データ!$A$3:$C$23,2,FALSE))))</f>
        <v/>
      </c>
    </row>
    <row r="155" spans="1:30">
      <c r="A155" s="1">
        <f>IF(AND(M155&gt;=VLOOKUP(M155,データ!$K$3:$O$6,1,TRUE),M155&lt;=VLOOKUP(M155,データ!$K$3:$O$6,2,TRUE)),VLOOKUP(M155,データ!$K$3:$O$6,5,TRUE),"")</f>
        <v>1</v>
      </c>
      <c r="B155" s="74">
        <f>IF(AND(M155&gt;=VLOOKUP(M155,データ!$K$3:$O$6,1,TRUE),M155&lt;=VLOOKUP(M155,データ!$K$3:$O$6,2,TRUE)),VLOOKUP(M155,データ!$K$3:$O$6,3,TRUE),"")</f>
        <v>0.41666666666666669</v>
      </c>
      <c r="C155" s="1">
        <f>IF(AND(M155&gt;=VLOOKUP(M155,データ!$K$11:$O$16,1,TRUE),M155&lt;=VLOOKUP(M155,データ!$K$11:$O$16,2,TRUE)),VLOOKUP(M155,データ!$K$11:$O$16,5,TRUE),0)</f>
        <v>0</v>
      </c>
      <c r="D155" s="74" t="str">
        <f>IF(AND(M155&gt;=VLOOKUP(M155,データ!$K$11:$O$16,1,TRUE),M155&lt;=VLOOKUP(M155,データ!$K$11:$O$16,2,TRUE)),VLOOKUP(M155,データ!$K$11:$O$16,3,TRUE),"")</f>
        <v/>
      </c>
      <c r="E155" s="74">
        <f t="shared" si="144"/>
        <v>0.41666666666666669</v>
      </c>
      <c r="F155" s="75">
        <f>VLOOKUP(E155,データ!$K$20:$O$24,5,FALSE)</f>
        <v>0</v>
      </c>
      <c r="G155" s="74">
        <f>IF(AND(M155&gt;=VLOOKUP(M155,データ!$K$3:$O$6,1,TRUE),M155&lt;=VLOOKUP(M155,データ!$K$3:$O$6,2,TRUE)),VLOOKUP(M155,データ!$K$3:$O$6,4,TRUE),"")</f>
        <v>0.70833333333333337</v>
      </c>
      <c r="H155" s="256">
        <f>INDEX(データ!L$21:N$24,MATCH(配置表!E155,データ!K$21:K$24,0),MATCH(配置表!G155,データ!L$20:N$20,0))</f>
        <v>1</v>
      </c>
      <c r="I155" s="52" t="str">
        <f>IF(ISERROR(VLOOKUP(M155,データ!$A$3:$C$20,3,FALSE)),"",VLOOKUP(M155,データ!$A$3:$C$20,3,FALSE))</f>
        <v/>
      </c>
      <c r="J155" s="52" t="str">
        <f t="shared" si="145"/>
        <v/>
      </c>
      <c r="K155" s="53">
        <f t="shared" si="158"/>
        <v>0</v>
      </c>
      <c r="L155" s="28" t="str">
        <f t="shared" si="146"/>
        <v/>
      </c>
      <c r="M155" s="9">
        <f t="shared" si="159"/>
        <v>45886</v>
      </c>
      <c r="N155" s="10" t="str">
        <f t="shared" si="147"/>
        <v>日</v>
      </c>
      <c r="O155" s="62" t="str">
        <f>IF(AND(M155&gt;=VLOOKUP(M155,データ!$E$3:$G$9,1,TRUE),M155&lt;=VLOOKUP(M155,データ!$E$3:$G$9,2,TRUE)),VLOOKUP(M155,データ!$E$3:$G$9,3,TRUE),"")</f>
        <v>夏　特別展</v>
      </c>
      <c r="P155" s="67" t="str">
        <f>IF(AND(M155&gt;=VLOOKUP(M155,データ!$E$14:$G$21,1,TRUE),M155&lt;=VLOOKUP(M155,データ!$E$14:$G$21,2,TRUE)),VLOOKUP(M155,データ!$E$14:$G$21,3,TRUE),"")</f>
        <v>テーマ展</v>
      </c>
      <c r="Q155" s="44" t="str">
        <f t="shared" si="148"/>
        <v>○</v>
      </c>
      <c r="R155" s="45"/>
      <c r="S155" s="10" t="str">
        <f t="shared" si="169"/>
        <v>○</v>
      </c>
      <c r="T155" s="45"/>
      <c r="U155" s="33" t="str">
        <f t="shared" si="161"/>
        <v>●</v>
      </c>
      <c r="V155" s="32"/>
      <c r="W155" s="33" t="str">
        <f t="shared" si="170"/>
        <v>◎</v>
      </c>
      <c r="X155" s="8"/>
      <c r="Y155" s="10" t="str">
        <f t="shared" si="152"/>
        <v>○</v>
      </c>
      <c r="Z155" s="32">
        <f>IF(L155="閉","",(IF(AND(M155&gt;=VLOOKUP(M155,データ!$E$3:$G$9,1,TRUE),M155&lt;=VLOOKUP(M155,データ!$E$3:$G$9,2,TRUE)),VLOOKUP(M155,データ!$E$3:$H$9,4,TRUE),0)+IF(AND(M155&gt;=VLOOKUP(M155,データ!$E$14:$G$21,1,TRUE),M155&lt;=VLOOKUP(M155,データ!$E$14:$G$21,2,TRUE)),VLOOKUP(M155,データ!$E$14:$H$21,4,TRUE),0)))</f>
        <v>5</v>
      </c>
      <c r="AA155" s="33" t="str">
        <f t="shared" si="153"/>
        <v>○</v>
      </c>
      <c r="AB155" s="227">
        <f t="shared" si="154"/>
        <v>0.41666666666666669</v>
      </c>
      <c r="AC155" s="227">
        <f t="shared" si="155"/>
        <v>0.70833333333333337</v>
      </c>
      <c r="AD155" s="228" t="str">
        <f>IF(K155=1,IF(ISERROR(VLOOKUP(M155,データ!$A$3:$C$23,2,FALSE)),"",VLOOKUP(M155,データ!$A$3:$C$23,2,FALSE)),(IF(ISERROR(VLOOKUP(M155,データ!$A$3:$C$23,2,FALSE)),"",VLOOKUP(M155,データ!$A$3:$C$23,2,FALSE))))</f>
        <v/>
      </c>
    </row>
    <row r="156" spans="1:30">
      <c r="A156" s="1">
        <f>IF(AND(M156&gt;=VLOOKUP(M156,データ!$K$3:$O$6,1,TRUE),M156&lt;=VLOOKUP(M156,データ!$K$3:$O$6,2,TRUE)),VLOOKUP(M156,データ!$K$3:$O$6,5,TRUE),"")</f>
        <v>1</v>
      </c>
      <c r="B156" s="74">
        <f>IF(AND(M156&gt;=VLOOKUP(M156,データ!$K$3:$O$6,1,TRUE),M156&lt;=VLOOKUP(M156,データ!$K$3:$O$6,2,TRUE)),VLOOKUP(M156,データ!$K$3:$O$6,3,TRUE),"")</f>
        <v>0.41666666666666669</v>
      </c>
      <c r="C156" s="1">
        <f>IF(AND(M156&gt;=VLOOKUP(M156,データ!$K$11:$O$16,1,TRUE),M156&lt;=VLOOKUP(M156,データ!$K$11:$O$16,2,TRUE)),VLOOKUP(M156,データ!$K$11:$O$16,5,TRUE),0)</f>
        <v>0</v>
      </c>
      <c r="D156" s="74" t="str">
        <f>IF(AND(M156&gt;=VLOOKUP(M156,データ!$K$11:$O$16,1,TRUE),M156&lt;=VLOOKUP(M156,データ!$K$11:$O$16,2,TRUE)),VLOOKUP(M156,データ!$K$11:$O$16,3,TRUE),"")</f>
        <v/>
      </c>
      <c r="E156" s="74">
        <f t="shared" si="144"/>
        <v>0.41666666666666669</v>
      </c>
      <c r="F156" s="75">
        <f>VLOOKUP(E156,データ!$K$20:$O$24,5,FALSE)</f>
        <v>0</v>
      </c>
      <c r="G156" s="74">
        <f>IF(AND(M156&gt;=VLOOKUP(M156,データ!$K$3:$O$6,1,TRUE),M156&lt;=VLOOKUP(M156,データ!$K$3:$O$6,2,TRUE)),VLOOKUP(M156,データ!$K$3:$O$6,4,TRUE),"")</f>
        <v>0.70833333333333337</v>
      </c>
      <c r="H156" s="256">
        <f>INDEX(データ!L$21:N$24,MATCH(配置表!E156,データ!K$21:K$24,0),MATCH(配置表!G156,データ!L$20:N$20,0))</f>
        <v>1</v>
      </c>
      <c r="I156" s="52" t="str">
        <f>IF(ISERROR(VLOOKUP(M156,データ!$A$3:$C$20,3,FALSE)),"",VLOOKUP(M156,データ!$A$3:$C$20,3,FALSE))</f>
        <v/>
      </c>
      <c r="J156" s="52">
        <f t="shared" si="145"/>
        <v>1</v>
      </c>
      <c r="K156" s="53">
        <f t="shared" si="158"/>
        <v>1</v>
      </c>
      <c r="L156" s="28" t="str">
        <f t="shared" si="146"/>
        <v>閉</v>
      </c>
      <c r="M156" s="9">
        <f t="shared" si="159"/>
        <v>45887</v>
      </c>
      <c r="N156" s="10" t="str">
        <f t="shared" si="147"/>
        <v>月</v>
      </c>
      <c r="O156" s="62" t="str">
        <f>IF(AND(M156&gt;=VLOOKUP(M156,データ!$E$3:$G$9,1,TRUE),M156&lt;=VLOOKUP(M156,データ!$E$3:$G$9,2,TRUE)),VLOOKUP(M156,データ!$E$3:$G$9,3,TRUE),"")</f>
        <v>夏　特別展</v>
      </c>
      <c r="P156" s="67" t="str">
        <f>IF(AND(M156&gt;=VLOOKUP(M156,データ!$E$14:$G$21,1,TRUE),M156&lt;=VLOOKUP(M156,データ!$E$14:$G$21,2,TRUE)),VLOOKUP(M156,データ!$E$14:$G$21,3,TRUE),"")</f>
        <v>テーマ展</v>
      </c>
      <c r="Q156" s="44" t="str">
        <f t="shared" si="148"/>
        <v>休</v>
      </c>
      <c r="R156" s="8"/>
      <c r="S156" s="33" t="str">
        <f t="shared" si="160"/>
        <v>休</v>
      </c>
      <c r="T156" s="8"/>
      <c r="U156" s="33" t="str">
        <f t="shared" si="161"/>
        <v>休</v>
      </c>
      <c r="V156" s="8"/>
      <c r="W156" s="33" t="str">
        <f t="shared" si="162"/>
        <v>休</v>
      </c>
      <c r="X156" s="8"/>
      <c r="Y156" s="33" t="str">
        <f t="shared" si="152"/>
        <v>休</v>
      </c>
      <c r="Z156" s="8" t="str">
        <f>IF(L156="閉","",(IF(AND(M156&gt;=VLOOKUP(M156,データ!$E$3:$G$9,1,TRUE),M156&lt;=VLOOKUP(M156,データ!$E$3:$G$9,2,TRUE)),VLOOKUP(M156,データ!$E$3:$H$9,4,TRUE),0)+IF(AND(M156&gt;=VLOOKUP(M156,データ!$E$14:$G$21,1,TRUE),M156&lt;=VLOOKUP(M156,データ!$E$14:$G$21,2,TRUE)),VLOOKUP(M156,データ!$E$14:$H$21,4,TRUE),0)))</f>
        <v/>
      </c>
      <c r="AA156" s="33" t="str">
        <f t="shared" si="153"/>
        <v>休</v>
      </c>
      <c r="AB156" s="227" t="str">
        <f t="shared" si="154"/>
        <v/>
      </c>
      <c r="AC156" s="227" t="str">
        <f t="shared" si="155"/>
        <v/>
      </c>
      <c r="AD156" s="228" t="str">
        <f>IF(K156=1,IF(ISERROR(VLOOKUP(M156,データ!$A$3:$C$23,2,FALSE)),"",VLOOKUP(M156,データ!$A$3:$C$23,2,FALSE)),(IF(ISERROR(VLOOKUP(M156,データ!$A$3:$C$23,2,FALSE)),"",VLOOKUP(M156,データ!$A$3:$C$23,2,FALSE))))</f>
        <v/>
      </c>
    </row>
    <row r="157" spans="1:30">
      <c r="A157" s="1">
        <f>IF(AND(M157&gt;=VLOOKUP(M157,データ!$K$3:$O$6,1,TRUE),M157&lt;=VLOOKUP(M157,データ!$K$3:$O$6,2,TRUE)),VLOOKUP(M157,データ!$K$3:$O$6,5,TRUE),"")</f>
        <v>1</v>
      </c>
      <c r="B157" s="74">
        <f>IF(AND(M157&gt;=VLOOKUP(M157,データ!$K$3:$O$6,1,TRUE),M157&lt;=VLOOKUP(M157,データ!$K$3:$O$6,2,TRUE)),VLOOKUP(M157,データ!$K$3:$O$6,3,TRUE),"")</f>
        <v>0.41666666666666669</v>
      </c>
      <c r="C157" s="1">
        <f>IF(AND(M157&gt;=VLOOKUP(M157,データ!$K$11:$O$16,1,TRUE),M157&lt;=VLOOKUP(M157,データ!$K$11:$O$16,2,TRUE)),VLOOKUP(M157,データ!$K$11:$O$16,5,TRUE),0)</f>
        <v>0</v>
      </c>
      <c r="D157" s="74" t="str">
        <f>IF(AND(M157&gt;=VLOOKUP(M157,データ!$K$11:$O$16,1,TRUE),M157&lt;=VLOOKUP(M157,データ!$K$11:$O$16,2,TRUE)),VLOOKUP(M157,データ!$K$11:$O$16,3,TRUE),"")</f>
        <v/>
      </c>
      <c r="E157" s="74">
        <f t="shared" si="144"/>
        <v>0.41666666666666669</v>
      </c>
      <c r="F157" s="75">
        <f>VLOOKUP(E157,データ!$K$20:$O$24,5,FALSE)</f>
        <v>0</v>
      </c>
      <c r="G157" s="74">
        <f>IF(AND(M157&gt;=VLOOKUP(M157,データ!$K$3:$O$6,1,TRUE),M157&lt;=VLOOKUP(M157,データ!$K$3:$O$6,2,TRUE)),VLOOKUP(M157,データ!$K$3:$O$6,4,TRUE),"")</f>
        <v>0.70833333333333337</v>
      </c>
      <c r="H157" s="256">
        <f>INDEX(データ!L$21:N$24,MATCH(配置表!E157,データ!K$21:K$24,0),MATCH(配置表!G157,データ!L$20:N$20,0))</f>
        <v>1</v>
      </c>
      <c r="I157" s="52" t="str">
        <f>IF(ISERROR(VLOOKUP(M157,データ!$A$3:$C$20,3,FALSE)),"",VLOOKUP(M157,データ!$A$3:$C$20,3,FALSE))</f>
        <v/>
      </c>
      <c r="J157" s="52" t="str">
        <f t="shared" si="145"/>
        <v/>
      </c>
      <c r="K157" s="53">
        <f t="shared" si="158"/>
        <v>0</v>
      </c>
      <c r="L157" s="28" t="str">
        <f t="shared" si="146"/>
        <v/>
      </c>
      <c r="M157" s="9">
        <f t="shared" si="159"/>
        <v>45888</v>
      </c>
      <c r="N157" s="10" t="str">
        <f t="shared" si="147"/>
        <v>火</v>
      </c>
      <c r="O157" s="62" t="str">
        <f>IF(AND(M157&gt;=VLOOKUP(M157,データ!$E$3:$G$9,1,TRUE),M157&lt;=VLOOKUP(M157,データ!$E$3:$G$9,2,TRUE)),VLOOKUP(M157,データ!$E$3:$G$9,3,TRUE),"")</f>
        <v>夏　特別展</v>
      </c>
      <c r="P157" s="67" t="str">
        <f>IF(AND(M157&gt;=VLOOKUP(M157,データ!$E$14:$G$21,1,TRUE),M157&lt;=VLOOKUP(M157,データ!$E$14:$G$21,2,TRUE)),VLOOKUP(M157,データ!$E$14:$G$21,3,TRUE),"")</f>
        <v>テーマ展</v>
      </c>
      <c r="Q157" s="44" t="str">
        <f t="shared" si="148"/>
        <v>○</v>
      </c>
      <c r="R157" s="45"/>
      <c r="S157" s="33" t="str">
        <f t="shared" ref="S157:S160" si="171">IF(H157="閉","休",IF(K157="","",IF(OR(J157="土",J157="日",E157=1),IF(OR(K157="ダミー　特別展",K157="ダミー　特別展"),"◎",IF(OR(K157="夏　特別展",K157="秋　特別展",K157="春　特別展"),"○","")),"")))</f>
        <v/>
      </c>
      <c r="T157" s="45"/>
      <c r="U157" s="33" t="str">
        <f t="shared" ref="U157:U162" si="172">IF(L157="閉","休",IF(S157="","●","●"))</f>
        <v>●</v>
      </c>
      <c r="V157" s="32"/>
      <c r="W157" s="33" t="str">
        <f t="shared" ref="W157:W160" si="173">IF(P157="閉","休",IF(O157="","",IF(O157="冬　特別展",IF(OR(N157="土",N157="日",M157=1),"○",""),"○")))</f>
        <v>○</v>
      </c>
      <c r="X157" s="8"/>
      <c r="Y157" s="33" t="str">
        <f t="shared" si="152"/>
        <v>○</v>
      </c>
      <c r="Z157" s="8">
        <f>IF(L157="閉","",(IF(AND(M157&gt;=VLOOKUP(M157,データ!$E$3:$G$9,1,TRUE),M157&lt;=VLOOKUP(M157,データ!$E$3:$G$9,2,TRUE)),VLOOKUP(M157,データ!$E$3:$H$9,4,TRUE),0)+IF(AND(M157&gt;=VLOOKUP(M157,データ!$E$14:$G$21,1,TRUE),M157&lt;=VLOOKUP(M157,データ!$E$14:$G$21,2,TRUE)),VLOOKUP(M157,データ!$E$14:$H$21,4,TRUE),0)))</f>
        <v>5</v>
      </c>
      <c r="AA157" s="33" t="str">
        <f t="shared" si="153"/>
        <v>○</v>
      </c>
      <c r="AB157" s="227">
        <f t="shared" si="154"/>
        <v>0.41666666666666669</v>
      </c>
      <c r="AC157" s="227">
        <f t="shared" si="155"/>
        <v>0.70833333333333337</v>
      </c>
      <c r="AD157" s="228" t="str">
        <f>IF(K157=1,IF(ISERROR(VLOOKUP(M157,データ!$A$3:$C$23,2,FALSE)),"",VLOOKUP(M157,データ!$A$3:$C$23,2,FALSE)),(IF(ISERROR(VLOOKUP(M157,データ!$A$3:$C$23,2,FALSE)),"",VLOOKUP(M157,データ!$A$3:$C$23,2,FALSE))))</f>
        <v/>
      </c>
    </row>
    <row r="158" spans="1:30">
      <c r="A158" s="1">
        <f>IF(AND(M158&gt;=VLOOKUP(M158,データ!$K$3:$O$6,1,TRUE),M158&lt;=VLOOKUP(M158,データ!$K$3:$O$6,2,TRUE)),VLOOKUP(M158,データ!$K$3:$O$6,5,TRUE),"")</f>
        <v>1</v>
      </c>
      <c r="B158" s="74">
        <f>IF(AND(M158&gt;=VLOOKUP(M158,データ!$K$3:$O$6,1,TRUE),M158&lt;=VLOOKUP(M158,データ!$K$3:$O$6,2,TRUE)),VLOOKUP(M158,データ!$K$3:$O$6,3,TRUE),"")</f>
        <v>0.41666666666666669</v>
      </c>
      <c r="C158" s="1">
        <f>IF(AND(M158&gt;=VLOOKUP(M158,データ!$K$11:$O$16,1,TRUE),M158&lt;=VLOOKUP(M158,データ!$K$11:$O$16,2,TRUE)),VLOOKUP(M158,データ!$K$11:$O$16,5,TRUE),0)</f>
        <v>0</v>
      </c>
      <c r="D158" s="74" t="str">
        <f>IF(AND(M158&gt;=VLOOKUP(M158,データ!$K$11:$O$16,1,TRUE),M158&lt;=VLOOKUP(M158,データ!$K$11:$O$16,2,TRUE)),VLOOKUP(M158,データ!$K$11:$O$16,3,TRUE),"")</f>
        <v/>
      </c>
      <c r="E158" s="74">
        <f t="shared" si="144"/>
        <v>0.41666666666666669</v>
      </c>
      <c r="F158" s="75">
        <f>VLOOKUP(E158,データ!$K$20:$O$24,5,FALSE)</f>
        <v>0</v>
      </c>
      <c r="G158" s="74">
        <f>IF(AND(M158&gt;=VLOOKUP(M158,データ!$K$3:$O$6,1,TRUE),M158&lt;=VLOOKUP(M158,データ!$K$3:$O$6,2,TRUE)),VLOOKUP(M158,データ!$K$3:$O$6,4,TRUE),"")</f>
        <v>0.70833333333333337</v>
      </c>
      <c r="H158" s="256">
        <f>INDEX(データ!L$21:N$24,MATCH(配置表!E158,データ!K$21:K$24,0),MATCH(配置表!G158,データ!L$20:N$20,0))</f>
        <v>1</v>
      </c>
      <c r="I158" s="52" t="str">
        <f>IF(ISERROR(VLOOKUP(M158,データ!$A$3:$C$20,3,FALSE)),"",VLOOKUP(M158,データ!$A$3:$C$20,3,FALSE))</f>
        <v/>
      </c>
      <c r="J158" s="52" t="str">
        <f t="shared" si="145"/>
        <v/>
      </c>
      <c r="K158" s="53">
        <f t="shared" si="158"/>
        <v>0</v>
      </c>
      <c r="L158" s="28" t="str">
        <f t="shared" si="146"/>
        <v/>
      </c>
      <c r="M158" s="9">
        <f t="shared" si="159"/>
        <v>45889</v>
      </c>
      <c r="N158" s="10" t="str">
        <f t="shared" si="147"/>
        <v>水</v>
      </c>
      <c r="O158" s="62" t="str">
        <f>IF(AND(M158&gt;=VLOOKUP(M158,データ!$E$3:$G$9,1,TRUE),M158&lt;=VLOOKUP(M158,データ!$E$3:$G$9,2,TRUE)),VLOOKUP(M158,データ!$E$3:$G$9,3,TRUE),"")</f>
        <v>夏　特別展</v>
      </c>
      <c r="P158" s="67" t="str">
        <f>IF(AND(M158&gt;=VLOOKUP(M158,データ!$E$14:$G$21,1,TRUE),M158&lt;=VLOOKUP(M158,データ!$E$14:$G$21,2,TRUE)),VLOOKUP(M158,データ!$E$14:$G$21,3,TRUE),"")</f>
        <v>テーマ展</v>
      </c>
      <c r="Q158" s="44" t="str">
        <f t="shared" si="148"/>
        <v>○</v>
      </c>
      <c r="R158" s="45"/>
      <c r="S158" s="33" t="str">
        <f t="shared" si="171"/>
        <v/>
      </c>
      <c r="T158" s="45"/>
      <c r="U158" s="33" t="str">
        <f t="shared" si="172"/>
        <v>●</v>
      </c>
      <c r="V158" s="32"/>
      <c r="W158" s="33" t="str">
        <f t="shared" si="173"/>
        <v>○</v>
      </c>
      <c r="X158" s="8"/>
      <c r="Y158" s="33" t="str">
        <f t="shared" si="152"/>
        <v>○</v>
      </c>
      <c r="Z158" s="8">
        <f>IF(L158="閉","",(IF(AND(M158&gt;=VLOOKUP(M158,データ!$E$3:$G$9,1,TRUE),M158&lt;=VLOOKUP(M158,データ!$E$3:$G$9,2,TRUE)),VLOOKUP(M158,データ!$E$3:$H$9,4,TRUE),0)+IF(AND(M158&gt;=VLOOKUP(M158,データ!$E$14:$G$21,1,TRUE),M158&lt;=VLOOKUP(M158,データ!$E$14:$G$21,2,TRUE)),VLOOKUP(M158,データ!$E$14:$H$21,4,TRUE),0)))</f>
        <v>5</v>
      </c>
      <c r="AA158" s="33" t="str">
        <f t="shared" si="153"/>
        <v>○</v>
      </c>
      <c r="AB158" s="227">
        <f t="shared" si="154"/>
        <v>0.41666666666666669</v>
      </c>
      <c r="AC158" s="227">
        <f t="shared" si="155"/>
        <v>0.70833333333333337</v>
      </c>
      <c r="AD158" s="228" t="str">
        <f>IF(K158=1,IF(ISERROR(VLOOKUP(M158,データ!$A$3:$C$23,2,FALSE)),"",VLOOKUP(M158,データ!$A$3:$C$23,2,FALSE)),(IF(ISERROR(VLOOKUP(M158,データ!$A$3:$C$23,2,FALSE)),"",VLOOKUP(M158,データ!$A$3:$C$23,2,FALSE))))</f>
        <v/>
      </c>
    </row>
    <row r="159" spans="1:30">
      <c r="A159" s="1">
        <f>IF(AND(M159&gt;=VLOOKUP(M159,データ!$K$3:$O$6,1,TRUE),M159&lt;=VLOOKUP(M159,データ!$K$3:$O$6,2,TRUE)),VLOOKUP(M159,データ!$K$3:$O$6,5,TRUE),"")</f>
        <v>1</v>
      </c>
      <c r="B159" s="74">
        <f>IF(AND(M159&gt;=VLOOKUP(M159,データ!$K$3:$O$6,1,TRUE),M159&lt;=VLOOKUP(M159,データ!$K$3:$O$6,2,TRUE)),VLOOKUP(M159,データ!$K$3:$O$6,3,TRUE),"")</f>
        <v>0.41666666666666669</v>
      </c>
      <c r="C159" s="1">
        <f>IF(AND(M159&gt;=VLOOKUP(M159,データ!$K$11:$O$16,1,TRUE),M159&lt;=VLOOKUP(M159,データ!$K$11:$O$16,2,TRUE)),VLOOKUP(M159,データ!$K$11:$O$16,5,TRUE),0)</f>
        <v>0</v>
      </c>
      <c r="D159" s="74" t="str">
        <f>IF(AND(M159&gt;=VLOOKUP(M159,データ!$K$11:$O$16,1,TRUE),M159&lt;=VLOOKUP(M159,データ!$K$11:$O$16,2,TRUE)),VLOOKUP(M159,データ!$K$11:$O$16,3,TRUE),"")</f>
        <v/>
      </c>
      <c r="E159" s="74">
        <f t="shared" si="144"/>
        <v>0.41666666666666669</v>
      </c>
      <c r="F159" s="75">
        <f>VLOOKUP(E159,データ!$K$20:$O$24,5,FALSE)</f>
        <v>0</v>
      </c>
      <c r="G159" s="74">
        <f>IF(AND(M159&gt;=VLOOKUP(M159,データ!$K$3:$O$6,1,TRUE),M159&lt;=VLOOKUP(M159,データ!$K$3:$O$6,2,TRUE)),VLOOKUP(M159,データ!$K$3:$O$6,4,TRUE),"")</f>
        <v>0.70833333333333337</v>
      </c>
      <c r="H159" s="256">
        <f>INDEX(データ!L$21:N$24,MATCH(配置表!E159,データ!K$21:K$24,0),MATCH(配置表!G159,データ!L$20:N$20,0))</f>
        <v>1</v>
      </c>
      <c r="I159" s="52" t="str">
        <f>IF(ISERROR(VLOOKUP(M159,データ!$A$3:$C$20,3,FALSE)),"",VLOOKUP(M159,データ!$A$3:$C$20,3,FALSE))</f>
        <v/>
      </c>
      <c r="J159" s="52" t="str">
        <f t="shared" si="145"/>
        <v/>
      </c>
      <c r="K159" s="53">
        <f t="shared" si="158"/>
        <v>0</v>
      </c>
      <c r="L159" s="28" t="str">
        <f t="shared" si="146"/>
        <v/>
      </c>
      <c r="M159" s="9">
        <f t="shared" si="159"/>
        <v>45890</v>
      </c>
      <c r="N159" s="10" t="str">
        <f t="shared" si="147"/>
        <v>木</v>
      </c>
      <c r="O159" s="62" t="str">
        <f>IF(AND(M159&gt;=VLOOKUP(M159,データ!$E$3:$G$9,1,TRUE),M159&lt;=VLOOKUP(M159,データ!$E$3:$G$9,2,TRUE)),VLOOKUP(M159,データ!$E$3:$G$9,3,TRUE),"")</f>
        <v>夏　特別展</v>
      </c>
      <c r="P159" s="67" t="str">
        <f>IF(AND(M159&gt;=VLOOKUP(M159,データ!$E$14:$G$21,1,TRUE),M159&lt;=VLOOKUP(M159,データ!$E$14:$G$21,2,TRUE)),VLOOKUP(M159,データ!$E$14:$G$21,3,TRUE),"")</f>
        <v>テーマ展</v>
      </c>
      <c r="Q159" s="44" t="str">
        <f t="shared" si="148"/>
        <v>○</v>
      </c>
      <c r="R159" s="45"/>
      <c r="S159" s="33" t="str">
        <f t="shared" si="171"/>
        <v/>
      </c>
      <c r="T159" s="45"/>
      <c r="U159" s="33" t="str">
        <f t="shared" si="172"/>
        <v>●</v>
      </c>
      <c r="V159" s="32"/>
      <c r="W159" s="33" t="str">
        <f t="shared" si="173"/>
        <v>○</v>
      </c>
      <c r="X159" s="8"/>
      <c r="Y159" s="33" t="str">
        <f t="shared" si="152"/>
        <v>○</v>
      </c>
      <c r="Z159" s="8">
        <f>IF(L159="閉","",(IF(AND(M159&gt;=VLOOKUP(M159,データ!$E$3:$G$9,1,TRUE),M159&lt;=VLOOKUP(M159,データ!$E$3:$G$9,2,TRUE)),VLOOKUP(M159,データ!$E$3:$H$9,4,TRUE),0)+IF(AND(M159&gt;=VLOOKUP(M159,データ!$E$14:$G$21,1,TRUE),M159&lt;=VLOOKUP(M159,データ!$E$14:$G$21,2,TRUE)),VLOOKUP(M159,データ!$E$14:$H$21,4,TRUE),0)))</f>
        <v>5</v>
      </c>
      <c r="AA159" s="33" t="str">
        <f t="shared" si="153"/>
        <v>○</v>
      </c>
      <c r="AB159" s="227">
        <f t="shared" si="154"/>
        <v>0.41666666666666669</v>
      </c>
      <c r="AC159" s="227">
        <f t="shared" si="155"/>
        <v>0.70833333333333337</v>
      </c>
      <c r="AD159" s="228" t="str">
        <f>IF(K159=1,IF(ISERROR(VLOOKUP(M159,データ!$A$3:$C$23,2,FALSE)),"",VLOOKUP(M159,データ!$A$3:$C$23,2,FALSE)),(IF(ISERROR(VLOOKUP(M159,データ!$A$3:$C$23,2,FALSE)),"",VLOOKUP(M159,データ!$A$3:$C$23,2,FALSE))))</f>
        <v/>
      </c>
    </row>
    <row r="160" spans="1:30">
      <c r="A160" s="1">
        <f>IF(AND(M160&gt;=VLOOKUP(M160,データ!$K$3:$O$6,1,TRUE),M160&lt;=VLOOKUP(M160,データ!$K$3:$O$6,2,TRUE)),VLOOKUP(M160,データ!$K$3:$O$6,5,TRUE),"")</f>
        <v>1</v>
      </c>
      <c r="B160" s="74">
        <f>IF(AND(M160&gt;=VLOOKUP(M160,データ!$K$3:$O$6,1,TRUE),M160&lt;=VLOOKUP(M160,データ!$K$3:$O$6,2,TRUE)),VLOOKUP(M160,データ!$K$3:$O$6,3,TRUE),"")</f>
        <v>0.41666666666666669</v>
      </c>
      <c r="C160" s="1">
        <f>IF(AND(M160&gt;=VLOOKUP(M160,データ!$K$11:$O$16,1,TRUE),M160&lt;=VLOOKUP(M160,データ!$K$11:$O$16,2,TRUE)),VLOOKUP(M160,データ!$K$11:$O$16,5,TRUE),0)</f>
        <v>0</v>
      </c>
      <c r="D160" s="74" t="str">
        <f>IF(AND(M160&gt;=VLOOKUP(M160,データ!$K$11:$O$16,1,TRUE),M160&lt;=VLOOKUP(M160,データ!$K$11:$O$16,2,TRUE)),VLOOKUP(M160,データ!$K$11:$O$16,3,TRUE),"")</f>
        <v/>
      </c>
      <c r="E160" s="74">
        <f t="shared" si="144"/>
        <v>0.41666666666666669</v>
      </c>
      <c r="F160" s="75">
        <f>VLOOKUP(E160,データ!$K$20:$O$24,5,FALSE)</f>
        <v>0</v>
      </c>
      <c r="G160" s="74">
        <f>IF(AND(M160&gt;=VLOOKUP(M160,データ!$K$3:$O$6,1,TRUE),M160&lt;=VLOOKUP(M160,データ!$K$3:$O$6,2,TRUE)),VLOOKUP(M160,データ!$K$3:$O$6,4,TRUE),"")</f>
        <v>0.70833333333333337</v>
      </c>
      <c r="H160" s="256">
        <f>INDEX(データ!L$21:N$24,MATCH(配置表!E160,データ!K$21:K$24,0),MATCH(配置表!G160,データ!L$20:N$20,0))</f>
        <v>1</v>
      </c>
      <c r="I160" s="52" t="str">
        <f>IF(ISERROR(VLOOKUP(M160,データ!$A$3:$C$20,3,FALSE)),"",VLOOKUP(M160,データ!$A$3:$C$20,3,FALSE))</f>
        <v/>
      </c>
      <c r="J160" s="52" t="str">
        <f t="shared" si="145"/>
        <v/>
      </c>
      <c r="K160" s="53">
        <f t="shared" si="158"/>
        <v>0</v>
      </c>
      <c r="L160" s="28" t="str">
        <f t="shared" si="146"/>
        <v/>
      </c>
      <c r="M160" s="9">
        <f t="shared" si="159"/>
        <v>45891</v>
      </c>
      <c r="N160" s="10" t="str">
        <f t="shared" si="147"/>
        <v>金</v>
      </c>
      <c r="O160" s="62" t="str">
        <f>IF(AND(M160&gt;=VLOOKUP(M160,データ!$E$3:$G$9,1,TRUE),M160&lt;=VLOOKUP(M160,データ!$E$3:$G$9,2,TRUE)),VLOOKUP(M160,データ!$E$3:$G$9,3,TRUE),"")</f>
        <v>夏　特別展</v>
      </c>
      <c r="P160" s="67" t="str">
        <f>IF(AND(M160&gt;=VLOOKUP(M160,データ!$E$14:$G$21,1,TRUE),M160&lt;=VLOOKUP(M160,データ!$E$14:$G$21,2,TRUE)),VLOOKUP(M160,データ!$E$14:$G$21,3,TRUE),"")</f>
        <v>テーマ展</v>
      </c>
      <c r="Q160" s="44" t="str">
        <f t="shared" si="148"/>
        <v>○</v>
      </c>
      <c r="R160" s="45"/>
      <c r="S160" s="33" t="str">
        <f t="shared" si="171"/>
        <v/>
      </c>
      <c r="T160" s="45"/>
      <c r="U160" s="33" t="str">
        <f t="shared" si="172"/>
        <v>●</v>
      </c>
      <c r="V160" s="32"/>
      <c r="W160" s="33" t="str">
        <f t="shared" si="173"/>
        <v>○</v>
      </c>
      <c r="X160" s="8"/>
      <c r="Y160" s="33" t="str">
        <f t="shared" si="152"/>
        <v>○</v>
      </c>
      <c r="Z160" s="8">
        <f>IF(L160="閉","",(IF(AND(M160&gt;=VLOOKUP(M160,データ!$E$3:$G$9,1,TRUE),M160&lt;=VLOOKUP(M160,データ!$E$3:$G$9,2,TRUE)),VLOOKUP(M160,データ!$E$3:$H$9,4,TRUE),0)+IF(AND(M160&gt;=VLOOKUP(M160,データ!$E$14:$G$21,1,TRUE),M160&lt;=VLOOKUP(M160,データ!$E$14:$G$21,2,TRUE)),VLOOKUP(M160,データ!$E$14:$H$21,4,TRUE),0)))</f>
        <v>5</v>
      </c>
      <c r="AA160" s="33" t="str">
        <f t="shared" si="153"/>
        <v>○</v>
      </c>
      <c r="AB160" s="227">
        <f t="shared" si="154"/>
        <v>0.41666666666666669</v>
      </c>
      <c r="AC160" s="227">
        <f t="shared" si="155"/>
        <v>0.70833333333333337</v>
      </c>
      <c r="AD160" s="228" t="str">
        <f>IF(K160=1,IF(ISERROR(VLOOKUP(M160,データ!$A$3:$C$23,2,FALSE)),"",VLOOKUP(M160,データ!$A$3:$C$23,2,FALSE)),(IF(ISERROR(VLOOKUP(M160,データ!$A$3:$C$23,2,FALSE)),"",VLOOKUP(M160,データ!$A$3:$C$23,2,FALSE))))</f>
        <v/>
      </c>
    </row>
    <row r="161" spans="1:30">
      <c r="A161" s="1">
        <f>IF(AND(M161&gt;=VLOOKUP(M161,データ!$K$3:$O$6,1,TRUE),M161&lt;=VLOOKUP(M161,データ!$K$3:$O$6,2,TRUE)),VLOOKUP(M161,データ!$K$3:$O$6,5,TRUE),"")</f>
        <v>1</v>
      </c>
      <c r="B161" s="74">
        <f>IF(AND(M161&gt;=VLOOKUP(M161,データ!$K$3:$O$6,1,TRUE),M161&lt;=VLOOKUP(M161,データ!$K$3:$O$6,2,TRUE)),VLOOKUP(M161,データ!$K$3:$O$6,3,TRUE),"")</f>
        <v>0.41666666666666669</v>
      </c>
      <c r="C161" s="1">
        <f>IF(AND(M161&gt;=VLOOKUP(M161,データ!$K$11:$O$16,1,TRUE),M161&lt;=VLOOKUP(M161,データ!$K$11:$O$16,2,TRUE)),VLOOKUP(M161,データ!$K$11:$O$16,5,TRUE),0)</f>
        <v>0</v>
      </c>
      <c r="D161" s="74" t="str">
        <f>IF(AND(M161&gt;=VLOOKUP(M161,データ!$K$11:$O$16,1,TRUE),M161&lt;=VLOOKUP(M161,データ!$K$11:$O$16,2,TRUE)),VLOOKUP(M161,データ!$K$11:$O$16,3,TRUE),"")</f>
        <v/>
      </c>
      <c r="E161" s="74">
        <f t="shared" si="144"/>
        <v>0.41666666666666669</v>
      </c>
      <c r="F161" s="75">
        <f>VLOOKUP(E161,データ!$K$20:$O$24,5,FALSE)</f>
        <v>0</v>
      </c>
      <c r="G161" s="74">
        <f>IF(AND(M161&gt;=VLOOKUP(M161,データ!$K$3:$O$6,1,TRUE),M161&lt;=VLOOKUP(M161,データ!$K$3:$O$6,2,TRUE)),VLOOKUP(M161,データ!$K$3:$O$6,4,TRUE),"")</f>
        <v>0.70833333333333337</v>
      </c>
      <c r="H161" s="256">
        <f>INDEX(データ!L$21:N$24,MATCH(配置表!E161,データ!K$21:K$24,0),MATCH(配置表!G161,データ!L$20:N$20,0))</f>
        <v>1</v>
      </c>
      <c r="I161" s="52" t="str">
        <f>IF(ISERROR(VLOOKUP(M161,データ!$A$3:$C$20,3,FALSE)),"",VLOOKUP(M161,データ!$A$3:$C$20,3,FALSE))</f>
        <v/>
      </c>
      <c r="J161" s="52" t="str">
        <f t="shared" si="145"/>
        <v/>
      </c>
      <c r="K161" s="53">
        <f t="shared" si="158"/>
        <v>0</v>
      </c>
      <c r="L161" s="28" t="str">
        <f t="shared" si="146"/>
        <v/>
      </c>
      <c r="M161" s="9">
        <f t="shared" si="159"/>
        <v>45892</v>
      </c>
      <c r="N161" s="10" t="str">
        <f t="shared" si="147"/>
        <v>土</v>
      </c>
      <c r="O161" s="62" t="str">
        <f>IF(AND(M161&gt;=VLOOKUP(M161,データ!$E$3:$G$9,1,TRUE),M161&lt;=VLOOKUP(M161,データ!$E$3:$G$9,2,TRUE)),VLOOKUP(M161,データ!$E$3:$G$9,3,TRUE),"")</f>
        <v>夏　特別展</v>
      </c>
      <c r="P161" s="67" t="str">
        <f>IF(AND(M161&gt;=VLOOKUP(M161,データ!$E$14:$G$21,1,TRUE),M161&lt;=VLOOKUP(M161,データ!$E$14:$G$21,2,TRUE)),VLOOKUP(M161,データ!$E$14:$G$21,3,TRUE),"")</f>
        <v>テーマ展</v>
      </c>
      <c r="Q161" s="44" t="str">
        <f t="shared" si="148"/>
        <v>○</v>
      </c>
      <c r="R161" s="45"/>
      <c r="S161" s="10" t="str">
        <f t="shared" ref="S161:S162" si="174">IF(L161="閉","休",IF(O161="","",IF(O161="冬　特別展",IF(OR(N161="土",N161="日",I161=1),"○",""),"○")))</f>
        <v>○</v>
      </c>
      <c r="T161" s="45"/>
      <c r="U161" s="33" t="str">
        <f t="shared" si="172"/>
        <v>●</v>
      </c>
      <c r="V161" s="32"/>
      <c r="W161" s="33" t="str">
        <f t="shared" ref="W161:W162" si="175">IF(L161="閉","休",IF(O161="","",IF(OR(N161="土",N161="日",I161=1),IF(OR(O161="ダミー　特別展",O161="ダミー　特別展"),"◎",IF(OR(O161="夏　特別展",O161="秋　特別展",O161="春　特別展"),"◎","")),"")))</f>
        <v>◎</v>
      </c>
      <c r="X161" s="8"/>
      <c r="Y161" s="33" t="str">
        <f t="shared" si="152"/>
        <v>○</v>
      </c>
      <c r="Z161" s="8">
        <f>IF(L161="閉","",(IF(AND(M161&gt;=VLOOKUP(M161,データ!$E$3:$G$9,1,TRUE),M161&lt;=VLOOKUP(M161,データ!$E$3:$G$9,2,TRUE)),VLOOKUP(M161,データ!$E$3:$H$9,4,TRUE),0)+IF(AND(M161&gt;=VLOOKUP(M161,データ!$E$14:$G$21,1,TRUE),M161&lt;=VLOOKUP(M161,データ!$E$14:$G$21,2,TRUE)),VLOOKUP(M161,データ!$E$14:$H$21,4,TRUE),0)))</f>
        <v>5</v>
      </c>
      <c r="AA161" s="33" t="str">
        <f t="shared" si="153"/>
        <v>○</v>
      </c>
      <c r="AB161" s="227">
        <f t="shared" si="154"/>
        <v>0.41666666666666669</v>
      </c>
      <c r="AC161" s="227">
        <f t="shared" si="155"/>
        <v>0.70833333333333337</v>
      </c>
      <c r="AD161" s="228" t="str">
        <f>IF(K161=1,IF(ISERROR(VLOOKUP(M161,データ!$A$3:$C$23,2,FALSE)),"",VLOOKUP(M161,データ!$A$3:$C$23,2,FALSE)),(IF(ISERROR(VLOOKUP(M161,データ!$A$3:$C$23,2,FALSE)),"",VLOOKUP(M161,データ!$A$3:$C$23,2,FALSE))))</f>
        <v/>
      </c>
    </row>
    <row r="162" spans="1:30">
      <c r="A162" s="1">
        <f>IF(AND(M162&gt;=VLOOKUP(M162,データ!$K$3:$O$6,1,TRUE),M162&lt;=VLOOKUP(M162,データ!$K$3:$O$6,2,TRUE)),VLOOKUP(M162,データ!$K$3:$O$6,5,TRUE),"")</f>
        <v>1</v>
      </c>
      <c r="B162" s="74">
        <f>IF(AND(M162&gt;=VLOOKUP(M162,データ!$K$3:$O$6,1,TRUE),M162&lt;=VLOOKUP(M162,データ!$K$3:$O$6,2,TRUE)),VLOOKUP(M162,データ!$K$3:$O$6,3,TRUE),"")</f>
        <v>0.41666666666666669</v>
      </c>
      <c r="C162" s="1">
        <f>IF(AND(M162&gt;=VLOOKUP(M162,データ!$K$11:$O$16,1,TRUE),M162&lt;=VLOOKUP(M162,データ!$K$11:$O$16,2,TRUE)),VLOOKUP(M162,データ!$K$11:$O$16,5,TRUE),0)</f>
        <v>0</v>
      </c>
      <c r="D162" s="74" t="str">
        <f>IF(AND(M162&gt;=VLOOKUP(M162,データ!$K$11:$O$16,1,TRUE),M162&lt;=VLOOKUP(M162,データ!$K$11:$O$16,2,TRUE)),VLOOKUP(M162,データ!$K$11:$O$16,3,TRUE),"")</f>
        <v/>
      </c>
      <c r="E162" s="74">
        <f t="shared" si="144"/>
        <v>0.41666666666666669</v>
      </c>
      <c r="F162" s="75">
        <f>VLOOKUP(E162,データ!$K$20:$O$24,5,FALSE)</f>
        <v>0</v>
      </c>
      <c r="G162" s="74">
        <f>IF(AND(M162&gt;=VLOOKUP(M162,データ!$K$3:$O$6,1,TRUE),M162&lt;=VLOOKUP(M162,データ!$K$3:$O$6,2,TRUE)),VLOOKUP(M162,データ!$K$3:$O$6,4,TRUE),"")</f>
        <v>0.70833333333333337</v>
      </c>
      <c r="H162" s="256">
        <f>INDEX(データ!L$21:N$24,MATCH(配置表!E162,データ!K$21:K$24,0),MATCH(配置表!G162,データ!L$20:N$20,0))</f>
        <v>1</v>
      </c>
      <c r="I162" s="52" t="str">
        <f>IF(ISERROR(VLOOKUP(M162,データ!$A$3:$C$20,3,FALSE)),"",VLOOKUP(M162,データ!$A$3:$C$20,3,FALSE))</f>
        <v/>
      </c>
      <c r="J162" s="52" t="str">
        <f t="shared" si="145"/>
        <v/>
      </c>
      <c r="K162" s="53">
        <f t="shared" si="158"/>
        <v>0</v>
      </c>
      <c r="L162" s="28" t="str">
        <f t="shared" si="146"/>
        <v/>
      </c>
      <c r="M162" s="9">
        <f t="shared" si="159"/>
        <v>45893</v>
      </c>
      <c r="N162" s="10" t="str">
        <f t="shared" si="147"/>
        <v>日</v>
      </c>
      <c r="O162" s="62" t="str">
        <f>IF(AND(M162&gt;=VLOOKUP(M162,データ!$E$3:$G$9,1,TRUE),M162&lt;=VLOOKUP(M162,データ!$E$3:$G$9,2,TRUE)),VLOOKUP(M162,データ!$E$3:$G$9,3,TRUE),"")</f>
        <v>夏　特別展</v>
      </c>
      <c r="P162" s="67" t="str">
        <f>IF(AND(M162&gt;=VLOOKUP(M162,データ!$E$14:$G$21,1,TRUE),M162&lt;=VLOOKUP(M162,データ!$E$14:$G$21,2,TRUE)),VLOOKUP(M162,データ!$E$14:$G$21,3,TRUE),"")</f>
        <v>テーマ展</v>
      </c>
      <c r="Q162" s="44" t="str">
        <f t="shared" si="148"/>
        <v>○</v>
      </c>
      <c r="R162" s="45"/>
      <c r="S162" s="10" t="str">
        <f t="shared" si="174"/>
        <v>○</v>
      </c>
      <c r="T162" s="45"/>
      <c r="U162" s="33" t="str">
        <f t="shared" si="172"/>
        <v>●</v>
      </c>
      <c r="V162" s="32"/>
      <c r="W162" s="33" t="str">
        <f t="shared" si="175"/>
        <v>◎</v>
      </c>
      <c r="X162" s="8"/>
      <c r="Y162" s="10" t="str">
        <f t="shared" si="152"/>
        <v>○</v>
      </c>
      <c r="Z162" s="32">
        <f>IF(L162="閉","",(IF(AND(M162&gt;=VLOOKUP(M162,データ!$E$3:$G$9,1,TRUE),M162&lt;=VLOOKUP(M162,データ!$E$3:$G$9,2,TRUE)),VLOOKUP(M162,データ!$E$3:$H$9,4,TRUE),0)+IF(AND(M162&gt;=VLOOKUP(M162,データ!$E$14:$G$21,1,TRUE),M162&lt;=VLOOKUP(M162,データ!$E$14:$G$21,2,TRUE)),VLOOKUP(M162,データ!$E$14:$H$21,4,TRUE),0)))</f>
        <v>5</v>
      </c>
      <c r="AA162" s="33" t="str">
        <f t="shared" si="153"/>
        <v>○</v>
      </c>
      <c r="AB162" s="227">
        <f t="shared" si="154"/>
        <v>0.41666666666666669</v>
      </c>
      <c r="AC162" s="227">
        <f t="shared" si="155"/>
        <v>0.70833333333333337</v>
      </c>
      <c r="AD162" s="228" t="str">
        <f>IF(K162=1,IF(ISERROR(VLOOKUP(M162,データ!$A$3:$C$23,2,FALSE)),"",VLOOKUP(M162,データ!$A$3:$C$23,2,FALSE)),(IF(ISERROR(VLOOKUP(M162,データ!$A$3:$C$23,2,FALSE)),"",VLOOKUP(M162,データ!$A$3:$C$23,2,FALSE))))</f>
        <v/>
      </c>
    </row>
    <row r="163" spans="1:30">
      <c r="A163" s="1">
        <f>IF(AND(M163&gt;=VLOOKUP(M163,データ!$K$3:$O$6,1,TRUE),M163&lt;=VLOOKUP(M163,データ!$K$3:$O$6,2,TRUE)),VLOOKUP(M163,データ!$K$3:$O$6,5,TRUE),"")</f>
        <v>1</v>
      </c>
      <c r="B163" s="74">
        <f>IF(AND(M163&gt;=VLOOKUP(M163,データ!$K$3:$O$6,1,TRUE),M163&lt;=VLOOKUP(M163,データ!$K$3:$O$6,2,TRUE)),VLOOKUP(M163,データ!$K$3:$O$6,3,TRUE),"")</f>
        <v>0.41666666666666669</v>
      </c>
      <c r="C163" s="1">
        <f>IF(AND(M163&gt;=VLOOKUP(M163,データ!$K$11:$O$16,1,TRUE),M163&lt;=VLOOKUP(M163,データ!$K$11:$O$16,2,TRUE)),VLOOKUP(M163,データ!$K$11:$O$16,5,TRUE),0)</f>
        <v>0</v>
      </c>
      <c r="D163" s="74" t="str">
        <f>IF(AND(M163&gt;=VLOOKUP(M163,データ!$K$11:$O$16,1,TRUE),M163&lt;=VLOOKUP(M163,データ!$K$11:$O$16,2,TRUE)),VLOOKUP(M163,データ!$K$11:$O$16,3,TRUE),"")</f>
        <v/>
      </c>
      <c r="E163" s="74">
        <f t="shared" si="144"/>
        <v>0.41666666666666669</v>
      </c>
      <c r="F163" s="75">
        <f>VLOOKUP(E163,データ!$K$20:$O$24,5,FALSE)</f>
        <v>0</v>
      </c>
      <c r="G163" s="74">
        <f>IF(AND(M163&gt;=VLOOKUP(M163,データ!$K$3:$O$6,1,TRUE),M163&lt;=VLOOKUP(M163,データ!$K$3:$O$6,2,TRUE)),VLOOKUP(M163,データ!$K$3:$O$6,4,TRUE),"")</f>
        <v>0.70833333333333337</v>
      </c>
      <c r="H163" s="256">
        <f>INDEX(データ!L$21:N$24,MATCH(配置表!E163,データ!K$21:K$24,0),MATCH(配置表!G163,データ!L$20:N$20,0))</f>
        <v>1</v>
      </c>
      <c r="I163" s="52" t="str">
        <f>IF(ISERROR(VLOOKUP(M163,データ!$A$3:$C$20,3,FALSE)),"",VLOOKUP(M163,データ!$A$3:$C$20,3,FALSE))</f>
        <v/>
      </c>
      <c r="J163" s="52">
        <f t="shared" si="145"/>
        <v>1</v>
      </c>
      <c r="K163" s="53">
        <f t="shared" si="158"/>
        <v>1</v>
      </c>
      <c r="L163" s="28" t="str">
        <f t="shared" si="146"/>
        <v>閉</v>
      </c>
      <c r="M163" s="9">
        <f t="shared" si="159"/>
        <v>45894</v>
      </c>
      <c r="N163" s="10" t="str">
        <f t="shared" si="147"/>
        <v>月</v>
      </c>
      <c r="O163" s="62" t="str">
        <f>IF(AND(M163&gt;=VLOOKUP(M163,データ!$E$3:$G$9,1,TRUE),M163&lt;=VLOOKUP(M163,データ!$E$3:$G$9,2,TRUE)),VLOOKUP(M163,データ!$E$3:$G$9,3,TRUE),"")</f>
        <v/>
      </c>
      <c r="P163" s="67" t="str">
        <f>IF(AND(M163&gt;=VLOOKUP(M163,データ!$E$14:$G$21,1,TRUE),M163&lt;=VLOOKUP(M163,データ!$E$14:$G$21,2,TRUE)),VLOOKUP(M163,データ!$E$14:$G$21,3,TRUE),"")</f>
        <v>テーマ展</v>
      </c>
      <c r="Q163" s="44" t="str">
        <f t="shared" si="148"/>
        <v>休</v>
      </c>
      <c r="R163" s="8"/>
      <c r="S163" s="33" t="str">
        <f t="shared" si="160"/>
        <v>休</v>
      </c>
      <c r="T163" s="8"/>
      <c r="U163" s="33" t="str">
        <f t="shared" si="161"/>
        <v>休</v>
      </c>
      <c r="V163" s="8"/>
      <c r="W163" s="33" t="str">
        <f t="shared" si="162"/>
        <v>休</v>
      </c>
      <c r="X163" s="8"/>
      <c r="Y163" s="33" t="str">
        <f t="shared" si="152"/>
        <v>休</v>
      </c>
      <c r="Z163" s="8" t="str">
        <f>IF(L163="閉","",(IF(AND(M163&gt;=VLOOKUP(M163,データ!$E$3:$G$9,1,TRUE),M163&lt;=VLOOKUP(M163,データ!$E$3:$G$9,2,TRUE)),VLOOKUP(M163,データ!$E$3:$H$9,4,TRUE),0)+IF(AND(M163&gt;=VLOOKUP(M163,データ!$E$14:$G$21,1,TRUE),M163&lt;=VLOOKUP(M163,データ!$E$14:$G$21,2,TRUE)),VLOOKUP(M163,データ!$E$14:$H$21,4,TRUE),0)))</f>
        <v/>
      </c>
      <c r="AA163" s="33" t="str">
        <f t="shared" si="153"/>
        <v>休</v>
      </c>
      <c r="AB163" s="227" t="str">
        <f t="shared" si="154"/>
        <v/>
      </c>
      <c r="AC163" s="227" t="str">
        <f t="shared" si="155"/>
        <v/>
      </c>
      <c r="AD163" s="228" t="str">
        <f>IF(K163=1,IF(ISERROR(VLOOKUP(M163,データ!$A$3:$C$23,2,FALSE)),"",VLOOKUP(M163,データ!$A$3:$C$23,2,FALSE)),(IF(ISERROR(VLOOKUP(M163,データ!$A$3:$C$23,2,FALSE)),"",VLOOKUP(M163,データ!$A$3:$C$23,2,FALSE))))</f>
        <v/>
      </c>
    </row>
    <row r="164" spans="1:30">
      <c r="A164" s="1">
        <f>IF(AND(M164&gt;=VLOOKUP(M164,データ!$K$3:$O$6,1,TRUE),M164&lt;=VLOOKUP(M164,データ!$K$3:$O$6,2,TRUE)),VLOOKUP(M164,データ!$K$3:$O$6,5,TRUE),"")</f>
        <v>1</v>
      </c>
      <c r="B164" s="74">
        <f>IF(AND(M164&gt;=VLOOKUP(M164,データ!$K$3:$O$6,1,TRUE),M164&lt;=VLOOKUP(M164,データ!$K$3:$O$6,2,TRUE)),VLOOKUP(M164,データ!$K$3:$O$6,3,TRUE),"")</f>
        <v>0.41666666666666669</v>
      </c>
      <c r="C164" s="1">
        <f>IF(AND(M164&gt;=VLOOKUP(M164,データ!$K$11:$O$16,1,TRUE),M164&lt;=VLOOKUP(M164,データ!$K$11:$O$16,2,TRUE)),VLOOKUP(M164,データ!$K$11:$O$16,5,TRUE),0)</f>
        <v>0</v>
      </c>
      <c r="D164" s="74" t="str">
        <f>IF(AND(M164&gt;=VLOOKUP(M164,データ!$K$11:$O$16,1,TRUE),M164&lt;=VLOOKUP(M164,データ!$K$11:$O$16,2,TRUE)),VLOOKUP(M164,データ!$K$11:$O$16,3,TRUE),"")</f>
        <v/>
      </c>
      <c r="E164" s="74">
        <f t="shared" si="144"/>
        <v>0.41666666666666669</v>
      </c>
      <c r="F164" s="75">
        <f>VLOOKUP(E164,データ!$K$20:$O$24,5,FALSE)</f>
        <v>0</v>
      </c>
      <c r="G164" s="74">
        <f>IF(AND(M164&gt;=VLOOKUP(M164,データ!$K$3:$O$6,1,TRUE),M164&lt;=VLOOKUP(M164,データ!$K$3:$O$6,2,TRUE)),VLOOKUP(M164,データ!$K$3:$O$6,4,TRUE),"")</f>
        <v>0.70833333333333337</v>
      </c>
      <c r="H164" s="256">
        <f>INDEX(データ!L$21:N$24,MATCH(配置表!E164,データ!K$21:K$24,0),MATCH(配置表!G164,データ!L$20:N$20,0))</f>
        <v>1</v>
      </c>
      <c r="I164" s="52" t="str">
        <f>IF(ISERROR(VLOOKUP(M164,データ!$A$3:$C$20,3,FALSE)),"",VLOOKUP(M164,データ!$A$3:$C$20,3,FALSE))</f>
        <v/>
      </c>
      <c r="J164" s="52" t="str">
        <f t="shared" si="145"/>
        <v/>
      </c>
      <c r="K164" s="53">
        <f t="shared" si="158"/>
        <v>0</v>
      </c>
      <c r="L164" s="28" t="str">
        <f t="shared" si="146"/>
        <v/>
      </c>
      <c r="M164" s="9">
        <f t="shared" si="159"/>
        <v>45895</v>
      </c>
      <c r="N164" s="10" t="str">
        <f t="shared" si="147"/>
        <v>火</v>
      </c>
      <c r="O164" s="62" t="str">
        <f>IF(AND(M164&gt;=VLOOKUP(M164,データ!$E$3:$G$9,1,TRUE),M164&lt;=VLOOKUP(M164,データ!$E$3:$G$9,2,TRUE)),VLOOKUP(M164,データ!$E$3:$G$9,3,TRUE),"")</f>
        <v/>
      </c>
      <c r="P164" s="67" t="str">
        <f>IF(AND(M164&gt;=VLOOKUP(M164,データ!$E$14:$G$21,1,TRUE),M164&lt;=VLOOKUP(M164,データ!$E$14:$G$21,2,TRUE)),VLOOKUP(M164,データ!$E$14:$G$21,3,TRUE),"")</f>
        <v>テーマ展</v>
      </c>
      <c r="Q164" s="44" t="str">
        <f t="shared" si="148"/>
        <v>○</v>
      </c>
      <c r="R164" s="45"/>
      <c r="S164" s="10" t="str">
        <f t="shared" si="160"/>
        <v/>
      </c>
      <c r="T164" s="45"/>
      <c r="U164" s="10" t="str">
        <f t="shared" si="161"/>
        <v>●</v>
      </c>
      <c r="V164" s="32"/>
      <c r="W164" s="33" t="str">
        <f t="shared" si="162"/>
        <v/>
      </c>
      <c r="X164" s="8"/>
      <c r="Y164" s="33" t="str">
        <f t="shared" si="152"/>
        <v>○</v>
      </c>
      <c r="Z164" s="8">
        <f>IF(L164="閉","",(IF(AND(M164&gt;=VLOOKUP(M164,データ!$E$3:$G$9,1,TRUE),M164&lt;=VLOOKUP(M164,データ!$E$3:$G$9,2,TRUE)),VLOOKUP(M164,データ!$E$3:$H$9,4,TRUE),0)+IF(AND(M164&gt;=VLOOKUP(M164,データ!$E$14:$G$21,1,TRUE),M164&lt;=VLOOKUP(M164,データ!$E$14:$G$21,2,TRUE)),VLOOKUP(M164,データ!$E$14:$H$21,4,TRUE),0)))</f>
        <v>1</v>
      </c>
      <c r="AA164" s="33" t="str">
        <f t="shared" si="153"/>
        <v>△</v>
      </c>
      <c r="AB164" s="227">
        <f t="shared" si="154"/>
        <v>0.41666666666666669</v>
      </c>
      <c r="AC164" s="227">
        <f t="shared" si="155"/>
        <v>0.70833333333333337</v>
      </c>
      <c r="AD164" s="228" t="str">
        <f>IF(K164=1,IF(ISERROR(VLOOKUP(M164,データ!$A$3:$C$23,2,FALSE)),"",VLOOKUP(M164,データ!$A$3:$C$23,2,FALSE)),(IF(ISERROR(VLOOKUP(M164,データ!$A$3:$C$23,2,FALSE)),"",VLOOKUP(M164,データ!$A$3:$C$23,2,FALSE))))</f>
        <v/>
      </c>
    </row>
    <row r="165" spans="1:30">
      <c r="A165" s="1">
        <f>IF(AND(M165&gt;=VLOOKUP(M165,データ!$K$3:$O$6,1,TRUE),M165&lt;=VLOOKUP(M165,データ!$K$3:$O$6,2,TRUE)),VLOOKUP(M165,データ!$K$3:$O$6,5,TRUE),"")</f>
        <v>1</v>
      </c>
      <c r="B165" s="74">
        <f>IF(AND(M165&gt;=VLOOKUP(M165,データ!$K$3:$O$6,1,TRUE),M165&lt;=VLOOKUP(M165,データ!$K$3:$O$6,2,TRUE)),VLOOKUP(M165,データ!$K$3:$O$6,3,TRUE),"")</f>
        <v>0.41666666666666669</v>
      </c>
      <c r="C165" s="1">
        <f>IF(AND(M165&gt;=VLOOKUP(M165,データ!$K$11:$O$16,1,TRUE),M165&lt;=VLOOKUP(M165,データ!$K$11:$O$16,2,TRUE)),VLOOKUP(M165,データ!$K$11:$O$16,5,TRUE),0)</f>
        <v>0</v>
      </c>
      <c r="D165" s="74" t="str">
        <f>IF(AND(M165&gt;=VLOOKUP(M165,データ!$K$11:$O$16,1,TRUE),M165&lt;=VLOOKUP(M165,データ!$K$11:$O$16,2,TRUE)),VLOOKUP(M165,データ!$K$11:$O$16,3,TRUE),"")</f>
        <v/>
      </c>
      <c r="E165" s="74">
        <f t="shared" si="144"/>
        <v>0.41666666666666669</v>
      </c>
      <c r="F165" s="75">
        <f>VLOOKUP(E165,データ!$K$20:$O$24,5,FALSE)</f>
        <v>0</v>
      </c>
      <c r="G165" s="74">
        <f>IF(AND(M165&gt;=VLOOKUP(M165,データ!$K$3:$O$6,1,TRUE),M165&lt;=VLOOKUP(M165,データ!$K$3:$O$6,2,TRUE)),VLOOKUP(M165,データ!$K$3:$O$6,4,TRUE),"")</f>
        <v>0.70833333333333337</v>
      </c>
      <c r="H165" s="256">
        <f>INDEX(データ!L$21:N$24,MATCH(配置表!E165,データ!K$21:K$24,0),MATCH(配置表!G165,データ!L$20:N$20,0))</f>
        <v>1</v>
      </c>
      <c r="I165" s="52" t="str">
        <f>IF(ISERROR(VLOOKUP(M165,データ!$A$3:$C$20,3,FALSE)),"",VLOOKUP(M165,データ!$A$3:$C$20,3,FALSE))</f>
        <v/>
      </c>
      <c r="J165" s="52" t="str">
        <f t="shared" si="145"/>
        <v/>
      </c>
      <c r="K165" s="53">
        <f t="shared" si="158"/>
        <v>0</v>
      </c>
      <c r="L165" s="28" t="str">
        <f t="shared" si="146"/>
        <v/>
      </c>
      <c r="M165" s="9">
        <f t="shared" si="159"/>
        <v>45896</v>
      </c>
      <c r="N165" s="10" t="str">
        <f t="shared" si="147"/>
        <v>水</v>
      </c>
      <c r="O165" s="62" t="str">
        <f>IF(AND(M165&gt;=VLOOKUP(M165,データ!$E$3:$G$9,1,TRUE),M165&lt;=VLOOKUP(M165,データ!$E$3:$G$9,2,TRUE)),VLOOKUP(M165,データ!$E$3:$G$9,3,TRUE),"")</f>
        <v/>
      </c>
      <c r="P165" s="67" t="str">
        <f>IF(AND(M165&gt;=VLOOKUP(M165,データ!$E$14:$G$21,1,TRUE),M165&lt;=VLOOKUP(M165,データ!$E$14:$G$21,2,TRUE)),VLOOKUP(M165,データ!$E$14:$G$21,3,TRUE),"")</f>
        <v>テーマ展</v>
      </c>
      <c r="Q165" s="44" t="str">
        <f t="shared" si="148"/>
        <v>○</v>
      </c>
      <c r="R165" s="45"/>
      <c r="S165" s="10" t="str">
        <f t="shared" si="160"/>
        <v/>
      </c>
      <c r="T165" s="45"/>
      <c r="U165" s="10" t="str">
        <f t="shared" si="161"/>
        <v>●</v>
      </c>
      <c r="V165" s="32"/>
      <c r="W165" s="33" t="str">
        <f t="shared" si="162"/>
        <v/>
      </c>
      <c r="X165" s="8"/>
      <c r="Y165" s="33" t="str">
        <f t="shared" si="152"/>
        <v>○</v>
      </c>
      <c r="Z165" s="8">
        <f>IF(L165="閉","",(IF(AND(M165&gt;=VLOOKUP(M165,データ!$E$3:$G$9,1,TRUE),M165&lt;=VLOOKUP(M165,データ!$E$3:$G$9,2,TRUE)),VLOOKUP(M165,データ!$E$3:$H$9,4,TRUE),0)+IF(AND(M165&gt;=VLOOKUP(M165,データ!$E$14:$G$21,1,TRUE),M165&lt;=VLOOKUP(M165,データ!$E$14:$G$21,2,TRUE)),VLOOKUP(M165,データ!$E$14:$H$21,4,TRUE),0)))</f>
        <v>1</v>
      </c>
      <c r="AA165" s="33" t="str">
        <f t="shared" si="153"/>
        <v>△</v>
      </c>
      <c r="AB165" s="227">
        <f t="shared" si="154"/>
        <v>0.41666666666666669</v>
      </c>
      <c r="AC165" s="227">
        <f t="shared" si="155"/>
        <v>0.70833333333333337</v>
      </c>
      <c r="AD165" s="228" t="str">
        <f>IF(K165=1,IF(ISERROR(VLOOKUP(M165,データ!$A$3:$C$23,2,FALSE)),"",VLOOKUP(M165,データ!$A$3:$C$23,2,FALSE)),(IF(ISERROR(VLOOKUP(M165,データ!$A$3:$C$23,2,FALSE)),"",VLOOKUP(M165,データ!$A$3:$C$23,2,FALSE))))</f>
        <v/>
      </c>
    </row>
    <row r="166" spans="1:30">
      <c r="A166" s="1">
        <f>IF(AND(M166&gt;=VLOOKUP(M166,データ!$K$3:$O$6,1,TRUE),M166&lt;=VLOOKUP(M166,データ!$K$3:$O$6,2,TRUE)),VLOOKUP(M166,データ!$K$3:$O$6,5,TRUE),"")</f>
        <v>1</v>
      </c>
      <c r="B166" s="74">
        <f>IF(AND(M166&gt;=VLOOKUP(M166,データ!$K$3:$O$6,1,TRUE),M166&lt;=VLOOKUP(M166,データ!$K$3:$O$6,2,TRUE)),VLOOKUP(M166,データ!$K$3:$O$6,3,TRUE),"")</f>
        <v>0.41666666666666669</v>
      </c>
      <c r="C166" s="1">
        <f>IF(AND(M166&gt;=VLOOKUP(M166,データ!$K$11:$O$16,1,TRUE),M166&lt;=VLOOKUP(M166,データ!$K$11:$O$16,2,TRUE)),VLOOKUP(M166,データ!$K$11:$O$16,5,TRUE),0)</f>
        <v>0</v>
      </c>
      <c r="D166" s="74" t="str">
        <f>IF(AND(M166&gt;=VLOOKUP(M166,データ!$K$11:$O$16,1,TRUE),M166&lt;=VLOOKUP(M166,データ!$K$11:$O$16,2,TRUE)),VLOOKUP(M166,データ!$K$11:$O$16,3,TRUE),"")</f>
        <v/>
      </c>
      <c r="E166" s="74">
        <f t="shared" si="144"/>
        <v>0.41666666666666669</v>
      </c>
      <c r="F166" s="75">
        <f>VLOOKUP(E166,データ!$K$20:$O$24,5,FALSE)</f>
        <v>0</v>
      </c>
      <c r="G166" s="74">
        <f>IF(AND(M166&gt;=VLOOKUP(M166,データ!$K$3:$O$6,1,TRUE),M166&lt;=VLOOKUP(M166,データ!$K$3:$O$6,2,TRUE)),VLOOKUP(M166,データ!$K$3:$O$6,4,TRUE),"")</f>
        <v>0.70833333333333337</v>
      </c>
      <c r="H166" s="256">
        <f>INDEX(データ!L$21:N$24,MATCH(配置表!E166,データ!K$21:K$24,0),MATCH(配置表!G166,データ!L$20:N$20,0))</f>
        <v>1</v>
      </c>
      <c r="I166" s="52" t="str">
        <f>IF(ISERROR(VLOOKUP(M166,データ!$A$3:$C$20,3,FALSE)),"",VLOOKUP(M166,データ!$A$3:$C$20,3,FALSE))</f>
        <v/>
      </c>
      <c r="J166" s="52" t="str">
        <f t="shared" si="145"/>
        <v/>
      </c>
      <c r="K166" s="53">
        <f t="shared" si="158"/>
        <v>0</v>
      </c>
      <c r="L166" s="28" t="str">
        <f t="shared" si="146"/>
        <v/>
      </c>
      <c r="M166" s="9">
        <f t="shared" si="159"/>
        <v>45897</v>
      </c>
      <c r="N166" s="10" t="str">
        <f t="shared" si="147"/>
        <v>木</v>
      </c>
      <c r="O166" s="62" t="str">
        <f>IF(AND(M166&gt;=VLOOKUP(M166,データ!$E$3:$G$9,1,TRUE),M166&lt;=VLOOKUP(M166,データ!$E$3:$G$9,2,TRUE)),VLOOKUP(M166,データ!$E$3:$G$9,3,TRUE),"")</f>
        <v/>
      </c>
      <c r="P166" s="67" t="str">
        <f>IF(AND(M166&gt;=VLOOKUP(M166,データ!$E$14:$G$21,1,TRUE),M166&lt;=VLOOKUP(M166,データ!$E$14:$G$21,2,TRUE)),VLOOKUP(M166,データ!$E$14:$G$21,3,TRUE),"")</f>
        <v>テーマ展</v>
      </c>
      <c r="Q166" s="44" t="str">
        <f t="shared" si="148"/>
        <v>○</v>
      </c>
      <c r="R166" s="45"/>
      <c r="S166" s="10" t="str">
        <f t="shared" si="160"/>
        <v/>
      </c>
      <c r="T166" s="45"/>
      <c r="U166" s="10" t="str">
        <f t="shared" si="161"/>
        <v>●</v>
      </c>
      <c r="V166" s="32"/>
      <c r="W166" s="33" t="str">
        <f t="shared" si="162"/>
        <v/>
      </c>
      <c r="X166" s="8"/>
      <c r="Y166" s="33" t="str">
        <f t="shared" si="152"/>
        <v>○</v>
      </c>
      <c r="Z166" s="8">
        <f>IF(L166="閉","",(IF(AND(M166&gt;=VLOOKUP(M166,データ!$E$3:$G$9,1,TRUE),M166&lt;=VLOOKUP(M166,データ!$E$3:$G$9,2,TRUE)),VLOOKUP(M166,データ!$E$3:$H$9,4,TRUE),0)+IF(AND(M166&gt;=VLOOKUP(M166,データ!$E$14:$G$21,1,TRUE),M166&lt;=VLOOKUP(M166,データ!$E$14:$G$21,2,TRUE)),VLOOKUP(M166,データ!$E$14:$H$21,4,TRUE),0)))</f>
        <v>1</v>
      </c>
      <c r="AA166" s="33" t="str">
        <f t="shared" si="153"/>
        <v>△</v>
      </c>
      <c r="AB166" s="227">
        <f t="shared" si="154"/>
        <v>0.41666666666666669</v>
      </c>
      <c r="AC166" s="227">
        <f t="shared" si="155"/>
        <v>0.70833333333333337</v>
      </c>
      <c r="AD166" s="228" t="str">
        <f>IF(K166=1,IF(ISERROR(VLOOKUP(M166,データ!$A$3:$C$23,2,FALSE)),"",VLOOKUP(M166,データ!$A$3:$C$23,2,FALSE)),(IF(ISERROR(VLOOKUP(M166,データ!$A$3:$C$23,2,FALSE)),"",VLOOKUP(M166,データ!$A$3:$C$23,2,FALSE))))</f>
        <v/>
      </c>
    </row>
    <row r="167" spans="1:30">
      <c r="A167" s="1">
        <f>IF(AND(M167&gt;=VLOOKUP(M167,データ!$K$3:$O$6,1,TRUE),M167&lt;=VLOOKUP(M167,データ!$K$3:$O$6,2,TRUE)),VLOOKUP(M167,データ!$K$3:$O$6,5,TRUE),"")</f>
        <v>1</v>
      </c>
      <c r="B167" s="74">
        <f>IF(AND(M167&gt;=VLOOKUP(M167,データ!$K$3:$O$6,1,TRUE),M167&lt;=VLOOKUP(M167,データ!$K$3:$O$6,2,TRUE)),VLOOKUP(M167,データ!$K$3:$O$6,3,TRUE),"")</f>
        <v>0.41666666666666669</v>
      </c>
      <c r="C167" s="1">
        <f>IF(AND(M167&gt;=VLOOKUP(M167,データ!$K$11:$O$16,1,TRUE),M167&lt;=VLOOKUP(M167,データ!$K$11:$O$16,2,TRUE)),VLOOKUP(M167,データ!$K$11:$O$16,5,TRUE),0)</f>
        <v>0</v>
      </c>
      <c r="D167" s="74" t="str">
        <f>IF(AND(M167&gt;=VLOOKUP(M167,データ!$K$11:$O$16,1,TRUE),M167&lt;=VLOOKUP(M167,データ!$K$11:$O$16,2,TRUE)),VLOOKUP(M167,データ!$K$11:$O$16,3,TRUE),"")</f>
        <v/>
      </c>
      <c r="E167" s="74">
        <f t="shared" si="144"/>
        <v>0.41666666666666669</v>
      </c>
      <c r="F167" s="75">
        <f>VLOOKUP(E167,データ!$K$20:$O$24,5,FALSE)</f>
        <v>0</v>
      </c>
      <c r="G167" s="74">
        <f>IF(AND(M167&gt;=VLOOKUP(M167,データ!$K$3:$O$6,1,TRUE),M167&lt;=VLOOKUP(M167,データ!$K$3:$O$6,2,TRUE)),VLOOKUP(M167,データ!$K$3:$O$6,4,TRUE),"")</f>
        <v>0.70833333333333337</v>
      </c>
      <c r="H167" s="256">
        <f>INDEX(データ!L$21:N$24,MATCH(配置表!E167,データ!K$21:K$24,0),MATCH(配置表!G167,データ!L$20:N$20,0))</f>
        <v>1</v>
      </c>
      <c r="I167" s="52" t="str">
        <f>IF(ISERROR(VLOOKUP(M167,データ!$A$3:$C$20,3,FALSE)),"",VLOOKUP(M167,データ!$A$3:$C$20,3,FALSE))</f>
        <v/>
      </c>
      <c r="J167" s="52" t="str">
        <f t="shared" si="145"/>
        <v/>
      </c>
      <c r="K167" s="53">
        <f t="shared" si="158"/>
        <v>0</v>
      </c>
      <c r="L167" s="28" t="str">
        <f t="shared" si="146"/>
        <v/>
      </c>
      <c r="M167" s="9">
        <f t="shared" si="159"/>
        <v>45898</v>
      </c>
      <c r="N167" s="10" t="str">
        <f t="shared" si="147"/>
        <v>金</v>
      </c>
      <c r="O167" s="62" t="str">
        <f>IF(AND(M167&gt;=VLOOKUP(M167,データ!$E$3:$G$9,1,TRUE),M167&lt;=VLOOKUP(M167,データ!$E$3:$G$9,2,TRUE)),VLOOKUP(M167,データ!$E$3:$G$9,3,TRUE),"")</f>
        <v/>
      </c>
      <c r="P167" s="67" t="str">
        <f>IF(AND(M167&gt;=VLOOKUP(M167,データ!$E$14:$G$21,1,TRUE),M167&lt;=VLOOKUP(M167,データ!$E$14:$G$21,2,TRUE)),VLOOKUP(M167,データ!$E$14:$G$21,3,TRUE),"")</f>
        <v>テーマ展</v>
      </c>
      <c r="Q167" s="44" t="str">
        <f t="shared" si="148"/>
        <v>○</v>
      </c>
      <c r="R167" s="45"/>
      <c r="S167" s="10" t="str">
        <f t="shared" si="160"/>
        <v/>
      </c>
      <c r="T167" s="45"/>
      <c r="U167" s="10" t="str">
        <f t="shared" si="161"/>
        <v>●</v>
      </c>
      <c r="V167" s="32"/>
      <c r="W167" s="33" t="str">
        <f t="shared" si="162"/>
        <v/>
      </c>
      <c r="X167" s="8"/>
      <c r="Y167" s="33" t="str">
        <f t="shared" si="152"/>
        <v>○</v>
      </c>
      <c r="Z167" s="8">
        <f>IF(L167="閉","",(IF(AND(M167&gt;=VLOOKUP(M167,データ!$E$3:$G$9,1,TRUE),M167&lt;=VLOOKUP(M167,データ!$E$3:$G$9,2,TRUE)),VLOOKUP(M167,データ!$E$3:$H$9,4,TRUE),0)+IF(AND(M167&gt;=VLOOKUP(M167,データ!$E$14:$G$21,1,TRUE),M167&lt;=VLOOKUP(M167,データ!$E$14:$G$21,2,TRUE)),VLOOKUP(M167,データ!$E$14:$H$21,4,TRUE),0)))</f>
        <v>1</v>
      </c>
      <c r="AA167" s="33" t="str">
        <f t="shared" si="153"/>
        <v>△</v>
      </c>
      <c r="AB167" s="227">
        <f t="shared" si="154"/>
        <v>0.41666666666666669</v>
      </c>
      <c r="AC167" s="227">
        <f t="shared" si="155"/>
        <v>0.70833333333333337</v>
      </c>
      <c r="AD167" s="228" t="str">
        <f>IF(K167=1,IF(ISERROR(VLOOKUP(M167,データ!$A$3:$C$23,2,FALSE)),"",VLOOKUP(M167,データ!$A$3:$C$23,2,FALSE)),(IF(ISERROR(VLOOKUP(M167,データ!$A$3:$C$23,2,FALSE)),"",VLOOKUP(M167,データ!$A$3:$C$23,2,FALSE))))</f>
        <v/>
      </c>
    </row>
    <row r="168" spans="1:30">
      <c r="A168" s="1">
        <f>IF(AND(M168&gt;=VLOOKUP(M168,データ!$K$3:$O$6,1,TRUE),M168&lt;=VLOOKUP(M168,データ!$K$3:$O$6,2,TRUE)),VLOOKUP(M168,データ!$K$3:$O$6,5,TRUE),"")</f>
        <v>1</v>
      </c>
      <c r="B168" s="74">
        <f>IF(AND(M168&gt;=VLOOKUP(M168,データ!$K$3:$O$6,1,TRUE),M168&lt;=VLOOKUP(M168,データ!$K$3:$O$6,2,TRUE)),VLOOKUP(M168,データ!$K$3:$O$6,3,TRUE),"")</f>
        <v>0.41666666666666669</v>
      </c>
      <c r="C168" s="1">
        <f>IF(AND(M168&gt;=VLOOKUP(M168,データ!$K$11:$O$16,1,TRUE),M168&lt;=VLOOKUP(M168,データ!$K$11:$O$16,2,TRUE)),VLOOKUP(M168,データ!$K$11:$O$16,5,TRUE),0)</f>
        <v>0</v>
      </c>
      <c r="D168" s="74" t="str">
        <f>IF(AND(M168&gt;=VLOOKUP(M168,データ!$K$11:$O$16,1,TRUE),M168&lt;=VLOOKUP(M168,データ!$K$11:$O$16,2,TRUE)),VLOOKUP(M168,データ!$K$11:$O$16,3,TRUE),"")</f>
        <v/>
      </c>
      <c r="E168" s="74">
        <f t="shared" si="144"/>
        <v>0.41666666666666669</v>
      </c>
      <c r="F168" s="75">
        <f>VLOOKUP(E168,データ!$K$20:$O$24,5,FALSE)</f>
        <v>0</v>
      </c>
      <c r="G168" s="74">
        <f>IF(AND(M168&gt;=VLOOKUP(M168,データ!$K$3:$O$6,1,TRUE),M168&lt;=VLOOKUP(M168,データ!$K$3:$O$6,2,TRUE)),VLOOKUP(M168,データ!$K$3:$O$6,4,TRUE),"")</f>
        <v>0.70833333333333337</v>
      </c>
      <c r="H168" s="256">
        <f>INDEX(データ!L$21:N$24,MATCH(配置表!E168,データ!K$21:K$24,0),MATCH(配置表!G168,データ!L$20:N$20,0))</f>
        <v>1</v>
      </c>
      <c r="I168" s="52" t="str">
        <f>IF(ISERROR(VLOOKUP(M168,データ!$A$3:$C$20,3,FALSE)),"",VLOOKUP(M168,データ!$A$3:$C$20,3,FALSE))</f>
        <v/>
      </c>
      <c r="J168" s="52" t="str">
        <f t="shared" si="145"/>
        <v/>
      </c>
      <c r="K168" s="53">
        <f t="shared" si="158"/>
        <v>0</v>
      </c>
      <c r="L168" s="28" t="str">
        <f t="shared" si="146"/>
        <v/>
      </c>
      <c r="M168" s="9">
        <f t="shared" si="159"/>
        <v>45899</v>
      </c>
      <c r="N168" s="10" t="str">
        <f t="shared" si="147"/>
        <v>土</v>
      </c>
      <c r="O168" s="62" t="str">
        <f>IF(AND(M168&gt;=VLOOKUP(M168,データ!$E$3:$G$9,1,TRUE),M168&lt;=VLOOKUP(M168,データ!$E$3:$G$9,2,TRUE)),VLOOKUP(M168,データ!$E$3:$G$9,3,TRUE),"")</f>
        <v/>
      </c>
      <c r="P168" s="67" t="str">
        <f>IF(AND(M168&gt;=VLOOKUP(M168,データ!$E$14:$G$21,1,TRUE),M168&lt;=VLOOKUP(M168,データ!$E$14:$G$21,2,TRUE)),VLOOKUP(M168,データ!$E$14:$G$21,3,TRUE),"")</f>
        <v>テーマ展</v>
      </c>
      <c r="Q168" s="44" t="str">
        <f t="shared" si="148"/>
        <v>○</v>
      </c>
      <c r="R168" s="45"/>
      <c r="S168" s="10" t="str">
        <f t="shared" si="160"/>
        <v/>
      </c>
      <c r="T168" s="45"/>
      <c r="U168" s="10" t="str">
        <f t="shared" si="161"/>
        <v>●</v>
      </c>
      <c r="V168" s="32"/>
      <c r="W168" s="33" t="str">
        <f t="shared" si="162"/>
        <v/>
      </c>
      <c r="X168" s="8"/>
      <c r="Y168" s="33" t="str">
        <f t="shared" si="152"/>
        <v>○</v>
      </c>
      <c r="Z168" s="8">
        <f>IF(L168="閉","",(IF(AND(M168&gt;=VLOOKUP(M168,データ!$E$3:$G$9,1,TRUE),M168&lt;=VLOOKUP(M168,データ!$E$3:$G$9,2,TRUE)),VLOOKUP(M168,データ!$E$3:$H$9,4,TRUE),0)+IF(AND(M168&gt;=VLOOKUP(M168,データ!$E$14:$G$21,1,TRUE),M168&lt;=VLOOKUP(M168,データ!$E$14:$G$21,2,TRUE)),VLOOKUP(M168,データ!$E$14:$H$21,4,TRUE),0)))</f>
        <v>1</v>
      </c>
      <c r="AA168" s="33" t="str">
        <f t="shared" si="153"/>
        <v>△</v>
      </c>
      <c r="AB168" s="227">
        <f t="shared" si="154"/>
        <v>0.41666666666666669</v>
      </c>
      <c r="AC168" s="227">
        <f t="shared" si="155"/>
        <v>0.70833333333333337</v>
      </c>
      <c r="AD168" s="228" t="str">
        <f>IF(K168=1,IF(ISERROR(VLOOKUP(M168,データ!$A$3:$C$23,2,FALSE)),"",VLOOKUP(M168,データ!$A$3:$C$23,2,FALSE)),(IF(ISERROR(VLOOKUP(M168,データ!$A$3:$C$23,2,FALSE)),"",VLOOKUP(M168,データ!$A$3:$C$23,2,FALSE))))</f>
        <v/>
      </c>
    </row>
    <row r="169" spans="1:30" ht="12" thickBot="1">
      <c r="A169" s="1">
        <f>IF(AND(M169&gt;=VLOOKUP(M169,データ!$K$3:$O$6,1,TRUE),M169&lt;=VLOOKUP(M169,データ!$K$3:$O$6,2,TRUE)),VLOOKUP(M169,データ!$K$3:$O$6,5,TRUE),"")</f>
        <v>1</v>
      </c>
      <c r="B169" s="74">
        <f>IF(AND(M169&gt;=VLOOKUP(M169,データ!$K$3:$O$6,1,TRUE),M169&lt;=VLOOKUP(M169,データ!$K$3:$O$6,2,TRUE)),VLOOKUP(M169,データ!$K$3:$O$6,3,TRUE),"")</f>
        <v>0.41666666666666669</v>
      </c>
      <c r="C169" s="1">
        <f>IF(AND(M169&gt;=VLOOKUP(M169,データ!$K$11:$O$16,1,TRUE),M169&lt;=VLOOKUP(M169,データ!$K$11:$O$16,2,TRUE)),VLOOKUP(M169,データ!$K$11:$O$16,5,TRUE),0)</f>
        <v>0</v>
      </c>
      <c r="D169" s="74" t="str">
        <f>IF(AND(M169&gt;=VLOOKUP(M169,データ!$K$11:$O$16,1,TRUE),M169&lt;=VLOOKUP(M169,データ!$K$11:$O$16,2,TRUE)),VLOOKUP(M169,データ!$K$11:$O$16,3,TRUE),"")</f>
        <v/>
      </c>
      <c r="E169" s="74">
        <f t="shared" si="144"/>
        <v>0.41666666666666669</v>
      </c>
      <c r="F169" s="75">
        <f>VLOOKUP(E169,データ!$K$20:$O$24,5,FALSE)</f>
        <v>0</v>
      </c>
      <c r="G169" s="74">
        <f>IF(AND(M169&gt;=VLOOKUP(M169,データ!$K$3:$O$6,1,TRUE),M169&lt;=VLOOKUP(M169,データ!$K$3:$O$6,2,TRUE)),VLOOKUP(M169,データ!$K$3:$O$6,4,TRUE),"")</f>
        <v>0.70833333333333337</v>
      </c>
      <c r="H169" s="256">
        <f>INDEX(データ!L$21:N$24,MATCH(配置表!E169,データ!K$21:K$24,0),MATCH(配置表!G169,データ!L$20:N$20,0))</f>
        <v>1</v>
      </c>
      <c r="I169" s="52" t="str">
        <f>IF(ISERROR(VLOOKUP(M169,データ!$A$3:$C$20,3,FALSE)),"",VLOOKUP(M169,データ!$A$3:$C$20,3,FALSE))</f>
        <v/>
      </c>
      <c r="J169" s="52" t="str">
        <f t="shared" si="145"/>
        <v/>
      </c>
      <c r="K169" s="53">
        <f t="shared" si="158"/>
        <v>0</v>
      </c>
      <c r="L169" s="28" t="str">
        <f t="shared" si="146"/>
        <v/>
      </c>
      <c r="M169" s="29">
        <f t="shared" si="159"/>
        <v>45900</v>
      </c>
      <c r="N169" s="22" t="str">
        <f t="shared" si="147"/>
        <v>日</v>
      </c>
      <c r="O169" s="64" t="str">
        <f>IF(AND(M169&gt;=VLOOKUP(M169,データ!$E$3:$G$9,1,TRUE),M169&lt;=VLOOKUP(M169,データ!$E$3:$G$9,2,TRUE)),VLOOKUP(M169,データ!$E$3:$G$9,3,TRUE),"")</f>
        <v/>
      </c>
      <c r="P169" s="68" t="str">
        <f>IF(AND(M169&gt;=VLOOKUP(M169,データ!$E$14:$G$21,1,TRUE),M169&lt;=VLOOKUP(M169,データ!$E$14:$G$21,2,TRUE)),VLOOKUP(M169,データ!$E$14:$G$21,3,TRUE),"")</f>
        <v>テーマ展</v>
      </c>
      <c r="Q169" s="40" t="str">
        <f t="shared" si="148"/>
        <v>○</v>
      </c>
      <c r="R169" s="41"/>
      <c r="S169" s="22" t="str">
        <f t="shared" si="160"/>
        <v/>
      </c>
      <c r="T169" s="41"/>
      <c r="U169" s="22" t="str">
        <f t="shared" si="161"/>
        <v>●</v>
      </c>
      <c r="V169" s="23"/>
      <c r="W169" s="34" t="str">
        <f t="shared" si="162"/>
        <v/>
      </c>
      <c r="X169" s="27"/>
      <c r="Y169" s="34" t="str">
        <f t="shared" si="152"/>
        <v>○</v>
      </c>
      <c r="Z169" s="27">
        <f>IF(L169="閉","",(IF(AND(M169&gt;=VLOOKUP(M169,データ!$E$3:$G$9,1,TRUE),M169&lt;=VLOOKUP(M169,データ!$E$3:$G$9,2,TRUE)),VLOOKUP(M169,データ!$E$3:$H$9,4,TRUE),0)+IF(AND(M169&gt;=VLOOKUP(M169,データ!$E$14:$G$21,1,TRUE),M169&lt;=VLOOKUP(M169,データ!$E$14:$G$21,2,TRUE)),VLOOKUP(M169,データ!$E$14:$H$21,4,TRUE),0)))</f>
        <v>1</v>
      </c>
      <c r="AA169" s="34" t="str">
        <f t="shared" si="153"/>
        <v>△</v>
      </c>
      <c r="AB169" s="233">
        <f t="shared" si="154"/>
        <v>0.41666666666666669</v>
      </c>
      <c r="AC169" s="233">
        <f t="shared" si="155"/>
        <v>0.70833333333333337</v>
      </c>
      <c r="AD169" s="231" t="str">
        <f>IF(K169=1,IF(ISERROR(VLOOKUP(M169,データ!$A$3:$C$23,2,FALSE)),"",VLOOKUP(M169,データ!$A$3:$C$23,2,FALSE)),(IF(ISERROR(VLOOKUP(M169,データ!$A$3:$C$23,2,FALSE)),"",VLOOKUP(M169,データ!$A$3:$C$23,2,FALSE))))</f>
        <v/>
      </c>
    </row>
    <row r="170" spans="1:30" ht="14.25" thickBot="1">
      <c r="H170" s="256"/>
      <c r="I170" s="52"/>
      <c r="J170" s="52"/>
      <c r="K170" s="53"/>
      <c r="L170" s="28" t="str">
        <f t="shared" si="143"/>
        <v/>
      </c>
      <c r="M170" s="57"/>
      <c r="N170" s="50"/>
      <c r="O170" s="50"/>
      <c r="P170" s="50"/>
      <c r="Q170" s="50"/>
      <c r="R170" s="50"/>
      <c r="S170" s="50"/>
      <c r="T170" s="37"/>
      <c r="U170" s="37"/>
      <c r="V170" s="50"/>
      <c r="W170" s="50"/>
      <c r="X170" s="50"/>
      <c r="Y170" s="50"/>
      <c r="Z170" s="50"/>
      <c r="AA170" s="50"/>
      <c r="AB170" s="224"/>
      <c r="AC170" s="2"/>
    </row>
    <row r="171" spans="1:30" customFormat="1" ht="27.75" customHeight="1" thickBot="1">
      <c r="H171" s="257"/>
      <c r="I171" s="52"/>
      <c r="J171" s="52"/>
      <c r="K171" s="53"/>
      <c r="L171" s="28" t="str">
        <f t="shared" si="143"/>
        <v/>
      </c>
      <c r="M171" s="58"/>
      <c r="N171" s="59"/>
      <c r="O171" s="42" t="s">
        <v>5</v>
      </c>
      <c r="P171" s="60" t="s">
        <v>6</v>
      </c>
      <c r="Q171" s="49" t="s">
        <v>8</v>
      </c>
      <c r="R171" s="354" t="s">
        <v>13</v>
      </c>
      <c r="S171" s="355"/>
      <c r="T171" s="354" t="s">
        <v>14</v>
      </c>
      <c r="U171" s="355"/>
      <c r="V171" s="354" t="s">
        <v>9</v>
      </c>
      <c r="W171" s="355"/>
      <c r="X171" s="354" t="s">
        <v>10</v>
      </c>
      <c r="Y171" s="355"/>
      <c r="Z171" s="354" t="s">
        <v>1</v>
      </c>
      <c r="AA171" s="355"/>
      <c r="AB171" s="38" t="s">
        <v>114</v>
      </c>
      <c r="AC171" s="38" t="s">
        <v>35</v>
      </c>
      <c r="AD171" s="38" t="s">
        <v>116</v>
      </c>
    </row>
    <row r="172" spans="1:30">
      <c r="A172" s="1">
        <f>IF(AND(M172&gt;=VLOOKUP(M172,データ!$K$3:$O$6,1,TRUE),M172&lt;=VLOOKUP(M172,データ!$K$3:$O$6,2,TRUE)),VLOOKUP(M172,データ!$K$3:$O$6,5,TRUE),"")</f>
        <v>1</v>
      </c>
      <c r="B172" s="74">
        <f>IF(AND(M172&gt;=VLOOKUP(M172,データ!$K$3:$O$6,1,TRUE),M172&lt;=VLOOKUP(M172,データ!$K$3:$O$6,2,TRUE)),VLOOKUP(M172,データ!$K$3:$O$6,3,TRUE),"")</f>
        <v>0.41666666666666669</v>
      </c>
      <c r="C172" s="1">
        <f>IF(AND(M172&gt;=VLOOKUP(M172,データ!$K$11:$O$16,1,TRUE),M172&lt;=VLOOKUP(M172,データ!$K$11:$O$16,2,TRUE)),VLOOKUP(M172,データ!$K$11:$O$16,5,TRUE),0)</f>
        <v>0</v>
      </c>
      <c r="D172" s="74" t="str">
        <f>IF(AND(M172&gt;=VLOOKUP(M172,データ!$K$11:$O$16,1,TRUE),M172&lt;=VLOOKUP(M172,データ!$K$11:$O$16,2,TRUE)),VLOOKUP(M172,データ!$K$11:$O$16,3,TRUE),"")</f>
        <v/>
      </c>
      <c r="E172" s="74">
        <f t="shared" ref="E172:E201" si="176">IF(C172=2,IF(OR(N172="土",N172="日"),D172,B172),IF(C172=1,D172,B172))</f>
        <v>0.41666666666666669</v>
      </c>
      <c r="F172" s="75">
        <f>VLOOKUP(E172,データ!$K$20:$O$24,5,FALSE)</f>
        <v>0</v>
      </c>
      <c r="G172" s="74">
        <f>IF(AND(M172&gt;=VLOOKUP(M172,データ!$K$3:$O$6,1,TRUE),M172&lt;=VLOOKUP(M172,データ!$K$3:$O$6,2,TRUE)),VLOOKUP(M172,データ!$K$3:$O$6,4,TRUE),"")</f>
        <v>0.70833333333333337</v>
      </c>
      <c r="H172" s="256">
        <f>INDEX(データ!L$21:N$24,MATCH(配置表!E172,データ!K$21:K$24,0),MATCH(配置表!G172,データ!L$20:N$20,0))</f>
        <v>1</v>
      </c>
      <c r="I172" s="52" t="str">
        <f>IF(ISERROR(VLOOKUP(M172,データ!$A$3:$C$20,3,FALSE)),"",VLOOKUP(M172,データ!$A$3:$C$20,3,FALSE))</f>
        <v/>
      </c>
      <c r="J172" s="52">
        <f t="shared" ref="J172:J201" si="177">IF(N172="月",1,"")</f>
        <v>1</v>
      </c>
      <c r="K172" s="53">
        <f>IF(K169=2,IF(I172=1,2,1),IF(I172=1,IF(J172=1,2,0),IF(J172=1,1,0)))</f>
        <v>1</v>
      </c>
      <c r="L172" s="28" t="str">
        <f t="shared" ref="L172:L201" si="178">IF(AND(O172="",P172=""),"閉",IF(K172=1,"閉",""))</f>
        <v>閉</v>
      </c>
      <c r="M172" s="9">
        <f>M169+1</f>
        <v>45901</v>
      </c>
      <c r="N172" s="10" t="str">
        <f t="shared" ref="N172:N201" si="179">TEXT(WEEKDAY(M172,1),"aaa")</f>
        <v>月</v>
      </c>
      <c r="O172" s="62" t="str">
        <f>IF(AND(M172&gt;=VLOOKUP(M172,データ!$E$3:$G$9,1,TRUE),M172&lt;=VLOOKUP(M172,データ!$E$3:$G$9,2,TRUE)),VLOOKUP(M172,データ!$E$3:$G$9,3,TRUE),"")</f>
        <v/>
      </c>
      <c r="P172" s="67" t="str">
        <f>IF(AND(M172&gt;=VLOOKUP(M172,データ!$E$14:$G$21,1,TRUE),M172&lt;=VLOOKUP(M172,データ!$E$14:$G$21,2,TRUE)),VLOOKUP(M172,データ!$E$14:$G$21,3,TRUE),"")</f>
        <v>テーマ展</v>
      </c>
      <c r="Q172" s="44" t="str">
        <f t="shared" ref="Q172:Q201" si="180">IF(L172="閉","休","○")</f>
        <v>休</v>
      </c>
      <c r="R172" s="35"/>
      <c r="S172" s="47" t="str">
        <f t="shared" ref="S172:S200" si="181">IF(L172="閉","休",IF(O172="","",IF(O172="冬　特別展",IF(OR(N172="土",N172="日",I172=1),"○",""),"○")))</f>
        <v>休</v>
      </c>
      <c r="T172" s="35"/>
      <c r="U172" s="47" t="str">
        <f t="shared" ref="U172:U200" si="182">IF(L172="閉","休",IF(S172="","●","●"))</f>
        <v>休</v>
      </c>
      <c r="V172" s="35"/>
      <c r="W172" s="47" t="str">
        <f t="shared" ref="W172:W200" si="183">IF(L172="閉","休",IF(O172="","",IF(OR(N172="土",N172="日",I172=1),IF(OR(O172="ダミー　特別展",O172="ダミー　特別展"),"◎",IF(OR(O172="夏　特別展",O172="秋　特別展",O172="春　特別展"),"○","")),"")))</f>
        <v>休</v>
      </c>
      <c r="X172" s="35"/>
      <c r="Y172" s="47" t="str">
        <f t="shared" ref="Y172" si="184">IF(L172="閉","休",IF(H172=1,"○",IF(H172=2,"●","Err")))</f>
        <v>休</v>
      </c>
      <c r="Z172" s="35" t="str">
        <f>IF(L172="閉","",(IF(AND(M172&gt;=VLOOKUP(M172,データ!$E$3:$G$9,1,TRUE),M172&lt;=VLOOKUP(M172,データ!$E$3:$G$9,2,TRUE)),VLOOKUP(M172,データ!$E$3:$H$9,4,TRUE),0)+IF(AND(M172&gt;=VLOOKUP(M172,データ!$E$14:$G$21,1,TRUE),M172&lt;=VLOOKUP(M172,データ!$E$14:$G$21,2,TRUE)),VLOOKUP(M172,データ!$E$14:$H$21,4,TRUE),0)))</f>
        <v/>
      </c>
      <c r="AA172" s="47" t="str">
        <f t="shared" ref="AA172:AA201" si="185">IF(L172="閉","休",IF(O172="","△",IF(H172=1,"○",IF(H172=2,"●","Err"))))</f>
        <v>休</v>
      </c>
      <c r="AB172" s="232" t="str">
        <f t="shared" ref="AB172:AB201" si="186">IF(K172=1,"",E172)</f>
        <v/>
      </c>
      <c r="AC172" s="232" t="str">
        <f t="shared" ref="AC172:AC201" si="187">IF(K172=1,"",G172)</f>
        <v/>
      </c>
      <c r="AD172" s="226" t="str">
        <f>IF(K172=1,IF(ISERROR(VLOOKUP(M172,データ!$A$3:$C$23,2,FALSE)),"",VLOOKUP(M172,データ!$A$3:$C$23,2,FALSE)),(IF(ISERROR(VLOOKUP(M172,データ!$A$3:$C$23,2,FALSE)),"",VLOOKUP(M172,データ!$A$3:$C$23,2,FALSE))))</f>
        <v/>
      </c>
    </row>
    <row r="173" spans="1:30">
      <c r="A173" s="1">
        <f>IF(AND(M173&gt;=VLOOKUP(M173,データ!$K$3:$O$6,1,TRUE),M173&lt;=VLOOKUP(M173,データ!$K$3:$O$6,2,TRUE)),VLOOKUP(M173,データ!$K$3:$O$6,5,TRUE),"")</f>
        <v>1</v>
      </c>
      <c r="B173" s="74">
        <f>IF(AND(M173&gt;=VLOOKUP(M173,データ!$K$3:$O$6,1,TRUE),M173&lt;=VLOOKUP(M173,データ!$K$3:$O$6,2,TRUE)),VLOOKUP(M173,データ!$K$3:$O$6,3,TRUE),"")</f>
        <v>0.41666666666666669</v>
      </c>
      <c r="C173" s="1">
        <f>IF(AND(M173&gt;=VLOOKUP(M173,データ!$K$11:$O$16,1,TRUE),M173&lt;=VLOOKUP(M173,データ!$K$11:$O$16,2,TRUE)),VLOOKUP(M173,データ!$K$11:$O$16,5,TRUE),0)</f>
        <v>0</v>
      </c>
      <c r="D173" s="74" t="str">
        <f>IF(AND(M173&gt;=VLOOKUP(M173,データ!$K$11:$O$16,1,TRUE),M173&lt;=VLOOKUP(M173,データ!$K$11:$O$16,2,TRUE)),VLOOKUP(M173,データ!$K$11:$O$16,3,TRUE),"")</f>
        <v/>
      </c>
      <c r="E173" s="74">
        <f t="shared" si="176"/>
        <v>0.41666666666666669</v>
      </c>
      <c r="F173" s="75">
        <f>VLOOKUP(E173,データ!$K$20:$O$24,5,FALSE)</f>
        <v>0</v>
      </c>
      <c r="G173" s="74">
        <f>IF(AND(M173&gt;=VLOOKUP(M173,データ!$K$3:$O$6,1,TRUE),M173&lt;=VLOOKUP(M173,データ!$K$3:$O$6,2,TRUE)),VLOOKUP(M173,データ!$K$3:$O$6,4,TRUE),"")</f>
        <v>0.70833333333333337</v>
      </c>
      <c r="H173" s="256">
        <f>INDEX(データ!L$21:N$24,MATCH(配置表!E173,データ!K$21:K$24,0),MATCH(配置表!G173,データ!L$20:N$20,0))</f>
        <v>1</v>
      </c>
      <c r="I173" s="52" t="str">
        <f>IF(ISERROR(VLOOKUP(M173,データ!$A$3:$C$20,3,FALSE)),"",VLOOKUP(M173,データ!$A$3:$C$20,3,FALSE))</f>
        <v/>
      </c>
      <c r="J173" s="52" t="str">
        <f t="shared" si="177"/>
        <v/>
      </c>
      <c r="K173" s="53">
        <f>IF(K172=2,IF(I173=1,2,1),IF(I173=1,IF(J173=1,2,0),IF(J173=1,1,0)))</f>
        <v>0</v>
      </c>
      <c r="L173" s="28" t="str">
        <f t="shared" si="178"/>
        <v/>
      </c>
      <c r="M173" s="9">
        <f>M172+1</f>
        <v>45902</v>
      </c>
      <c r="N173" s="10" t="str">
        <f t="shared" si="179"/>
        <v>火</v>
      </c>
      <c r="O173" s="62" t="str">
        <f>IF(AND(M173&gt;=VLOOKUP(M173,データ!$E$3:$G$9,1,TRUE),M173&lt;=VLOOKUP(M173,データ!$E$3:$G$9,2,TRUE)),VLOOKUP(M173,データ!$E$3:$G$9,3,TRUE),"")</f>
        <v/>
      </c>
      <c r="P173" s="67" t="str">
        <f>IF(AND(M173&gt;=VLOOKUP(M173,データ!$E$14:$G$21,1,TRUE),M173&lt;=VLOOKUP(M173,データ!$E$14:$G$21,2,TRUE)),VLOOKUP(M173,データ!$E$14:$G$21,3,TRUE),"")</f>
        <v>テーマ展</v>
      </c>
      <c r="Q173" s="44" t="str">
        <f t="shared" si="180"/>
        <v>○</v>
      </c>
      <c r="R173" s="45"/>
      <c r="S173" s="10" t="str">
        <f t="shared" si="181"/>
        <v/>
      </c>
      <c r="T173" s="45"/>
      <c r="U173" s="10" t="str">
        <f t="shared" si="182"/>
        <v>●</v>
      </c>
      <c r="V173" s="32"/>
      <c r="W173" s="10" t="str">
        <f t="shared" si="183"/>
        <v/>
      </c>
      <c r="X173" s="32"/>
      <c r="Y173" s="33" t="str">
        <f t="shared" ref="Y173:Y201" si="188">IF(L173="閉","休",IF(H173=1,"○",IF(H173=2,"●","Err")))</f>
        <v>○</v>
      </c>
      <c r="Z173" s="32">
        <f>IF(L173="閉","",(IF(AND(M173&gt;=VLOOKUP(M173,データ!$E$3:$G$9,1,TRUE),M173&lt;=VLOOKUP(M173,データ!$E$3:$G$9,2,TRUE)),VLOOKUP(M173,データ!$E$3:$H$9,4,TRUE),0)+IF(AND(M173&gt;=VLOOKUP(M173,データ!$E$14:$G$21,1,TRUE),M173&lt;=VLOOKUP(M173,データ!$E$14:$G$21,2,TRUE)),VLOOKUP(M173,データ!$E$14:$H$21,4,TRUE),0)))</f>
        <v>1</v>
      </c>
      <c r="AA173" s="33" t="str">
        <f t="shared" si="185"/>
        <v>△</v>
      </c>
      <c r="AB173" s="227">
        <f t="shared" si="186"/>
        <v>0.41666666666666669</v>
      </c>
      <c r="AC173" s="227">
        <f t="shared" si="187"/>
        <v>0.70833333333333337</v>
      </c>
      <c r="AD173" s="228" t="str">
        <f>IF(K173=1,IF(ISERROR(VLOOKUP(M173,データ!$A$3:$C$23,2,FALSE)),"",VLOOKUP(M173,データ!$A$3:$C$23,2,FALSE)),(IF(ISERROR(VLOOKUP(M173,データ!$A$3:$C$23,2,FALSE)),"",VLOOKUP(M173,データ!$A$3:$C$23,2,FALSE))))</f>
        <v/>
      </c>
    </row>
    <row r="174" spans="1:30">
      <c r="A174" s="1">
        <f>IF(AND(M174&gt;=VLOOKUP(M174,データ!$K$3:$O$6,1,TRUE),M174&lt;=VLOOKUP(M174,データ!$K$3:$O$6,2,TRUE)),VLOOKUP(M174,データ!$K$3:$O$6,5,TRUE),"")</f>
        <v>1</v>
      </c>
      <c r="B174" s="74">
        <f>IF(AND(M174&gt;=VLOOKUP(M174,データ!$K$3:$O$6,1,TRUE),M174&lt;=VLOOKUP(M174,データ!$K$3:$O$6,2,TRUE)),VLOOKUP(M174,データ!$K$3:$O$6,3,TRUE),"")</f>
        <v>0.41666666666666669</v>
      </c>
      <c r="C174" s="1">
        <f>IF(AND(M174&gt;=VLOOKUP(M174,データ!$K$11:$O$16,1,TRUE),M174&lt;=VLOOKUP(M174,データ!$K$11:$O$16,2,TRUE)),VLOOKUP(M174,データ!$K$11:$O$16,5,TRUE),0)</f>
        <v>0</v>
      </c>
      <c r="D174" s="74" t="str">
        <f>IF(AND(M174&gt;=VLOOKUP(M174,データ!$K$11:$O$16,1,TRUE),M174&lt;=VLOOKUP(M174,データ!$K$11:$O$16,2,TRUE)),VLOOKUP(M174,データ!$K$11:$O$16,3,TRUE),"")</f>
        <v/>
      </c>
      <c r="E174" s="74">
        <f t="shared" si="176"/>
        <v>0.41666666666666669</v>
      </c>
      <c r="F174" s="75">
        <f>VLOOKUP(E174,データ!$K$20:$O$24,5,FALSE)</f>
        <v>0</v>
      </c>
      <c r="G174" s="74">
        <f>IF(AND(M174&gt;=VLOOKUP(M174,データ!$K$3:$O$6,1,TRUE),M174&lt;=VLOOKUP(M174,データ!$K$3:$O$6,2,TRUE)),VLOOKUP(M174,データ!$K$3:$O$6,4,TRUE),"")</f>
        <v>0.70833333333333337</v>
      </c>
      <c r="H174" s="256">
        <f>INDEX(データ!L$21:N$24,MATCH(配置表!E174,データ!K$21:K$24,0),MATCH(配置表!G174,データ!L$20:N$20,0))</f>
        <v>1</v>
      </c>
      <c r="I174" s="52" t="str">
        <f>IF(ISERROR(VLOOKUP(M174,データ!$A$3:$C$20,3,FALSE)),"",VLOOKUP(M174,データ!$A$3:$C$20,3,FALSE))</f>
        <v/>
      </c>
      <c r="J174" s="52" t="str">
        <f t="shared" si="177"/>
        <v/>
      </c>
      <c r="K174" s="53">
        <f t="shared" ref="K174:K201" si="189">IF(K173=2,IF(I174=1,2,1),IF(I174=1,IF(J174=1,2,0),IF(J174=1,1,0)))</f>
        <v>0</v>
      </c>
      <c r="L174" s="28" t="str">
        <f t="shared" si="178"/>
        <v/>
      </c>
      <c r="M174" s="9">
        <f t="shared" ref="M174:M201" si="190">M173+1</f>
        <v>45903</v>
      </c>
      <c r="N174" s="10" t="str">
        <f t="shared" si="179"/>
        <v>水</v>
      </c>
      <c r="O174" s="62" t="str">
        <f>IF(AND(M174&gt;=VLOOKUP(M174,データ!$E$3:$G$9,1,TRUE),M174&lt;=VLOOKUP(M174,データ!$E$3:$G$9,2,TRUE)),VLOOKUP(M174,データ!$E$3:$G$9,3,TRUE),"")</f>
        <v/>
      </c>
      <c r="P174" s="67" t="str">
        <f>IF(AND(M174&gt;=VLOOKUP(M174,データ!$E$14:$G$21,1,TRUE),M174&lt;=VLOOKUP(M174,データ!$E$14:$G$21,2,TRUE)),VLOOKUP(M174,データ!$E$14:$G$21,3,TRUE),"")</f>
        <v>テーマ展</v>
      </c>
      <c r="Q174" s="44" t="str">
        <f t="shared" si="180"/>
        <v>○</v>
      </c>
      <c r="R174" s="45"/>
      <c r="S174" s="10" t="str">
        <f t="shared" si="181"/>
        <v/>
      </c>
      <c r="T174" s="45"/>
      <c r="U174" s="10" t="str">
        <f t="shared" si="182"/>
        <v>●</v>
      </c>
      <c r="V174" s="32"/>
      <c r="W174" s="10" t="str">
        <f t="shared" si="183"/>
        <v/>
      </c>
      <c r="X174" s="32"/>
      <c r="Y174" s="33" t="str">
        <f t="shared" si="188"/>
        <v>○</v>
      </c>
      <c r="Z174" s="32">
        <f>IF(L174="閉","",(IF(AND(M174&gt;=VLOOKUP(M174,データ!$E$3:$G$9,1,TRUE),M174&lt;=VLOOKUP(M174,データ!$E$3:$G$9,2,TRUE)),VLOOKUP(M174,データ!$E$3:$H$9,4,TRUE),0)+IF(AND(M174&gt;=VLOOKUP(M174,データ!$E$14:$G$21,1,TRUE),M174&lt;=VLOOKUP(M174,データ!$E$14:$G$21,2,TRUE)),VLOOKUP(M174,データ!$E$14:$H$21,4,TRUE),0)))</f>
        <v>1</v>
      </c>
      <c r="AA174" s="33" t="str">
        <f t="shared" si="185"/>
        <v>△</v>
      </c>
      <c r="AB174" s="227">
        <f t="shared" si="186"/>
        <v>0.41666666666666669</v>
      </c>
      <c r="AC174" s="227">
        <f t="shared" si="187"/>
        <v>0.70833333333333337</v>
      </c>
      <c r="AD174" s="228" t="str">
        <f>IF(K174=1,IF(ISERROR(VLOOKUP(M174,データ!$A$3:$C$23,2,FALSE)),"",VLOOKUP(M174,データ!$A$3:$C$23,2,FALSE)),(IF(ISERROR(VLOOKUP(M174,データ!$A$3:$C$23,2,FALSE)),"",VLOOKUP(M174,データ!$A$3:$C$23,2,FALSE))))</f>
        <v/>
      </c>
    </row>
    <row r="175" spans="1:30">
      <c r="A175" s="1">
        <f>IF(AND(M175&gt;=VLOOKUP(M175,データ!$K$3:$O$6,1,TRUE),M175&lt;=VLOOKUP(M175,データ!$K$3:$O$6,2,TRUE)),VLOOKUP(M175,データ!$K$3:$O$6,5,TRUE),"")</f>
        <v>1</v>
      </c>
      <c r="B175" s="74">
        <f>IF(AND(M175&gt;=VLOOKUP(M175,データ!$K$3:$O$6,1,TRUE),M175&lt;=VLOOKUP(M175,データ!$K$3:$O$6,2,TRUE)),VLOOKUP(M175,データ!$K$3:$O$6,3,TRUE),"")</f>
        <v>0.41666666666666669</v>
      </c>
      <c r="C175" s="1">
        <f>IF(AND(M175&gt;=VLOOKUP(M175,データ!$K$11:$O$16,1,TRUE),M175&lt;=VLOOKUP(M175,データ!$K$11:$O$16,2,TRUE)),VLOOKUP(M175,データ!$K$11:$O$16,5,TRUE),0)</f>
        <v>0</v>
      </c>
      <c r="D175" s="74" t="str">
        <f>IF(AND(M175&gt;=VLOOKUP(M175,データ!$K$11:$O$16,1,TRUE),M175&lt;=VLOOKUP(M175,データ!$K$11:$O$16,2,TRUE)),VLOOKUP(M175,データ!$K$11:$O$16,3,TRUE),"")</f>
        <v/>
      </c>
      <c r="E175" s="74">
        <f t="shared" si="176"/>
        <v>0.41666666666666669</v>
      </c>
      <c r="F175" s="75">
        <f>VLOOKUP(E175,データ!$K$20:$O$24,5,FALSE)</f>
        <v>0</v>
      </c>
      <c r="G175" s="74">
        <f>IF(AND(M175&gt;=VLOOKUP(M175,データ!$K$3:$O$6,1,TRUE),M175&lt;=VLOOKUP(M175,データ!$K$3:$O$6,2,TRUE)),VLOOKUP(M175,データ!$K$3:$O$6,4,TRUE),"")</f>
        <v>0.70833333333333337</v>
      </c>
      <c r="H175" s="256">
        <f>INDEX(データ!L$21:N$24,MATCH(配置表!E175,データ!K$21:K$24,0),MATCH(配置表!G175,データ!L$20:N$20,0))</f>
        <v>1</v>
      </c>
      <c r="I175" s="52" t="str">
        <f>IF(ISERROR(VLOOKUP(M175,データ!$A$3:$C$20,3,FALSE)),"",VLOOKUP(M175,データ!$A$3:$C$20,3,FALSE))</f>
        <v/>
      </c>
      <c r="J175" s="52" t="str">
        <f t="shared" si="177"/>
        <v/>
      </c>
      <c r="K175" s="53">
        <f t="shared" si="189"/>
        <v>0</v>
      </c>
      <c r="L175" s="28" t="str">
        <f t="shared" si="178"/>
        <v/>
      </c>
      <c r="M175" s="9">
        <f t="shared" si="190"/>
        <v>45904</v>
      </c>
      <c r="N175" s="10" t="str">
        <f t="shared" si="179"/>
        <v>木</v>
      </c>
      <c r="O175" s="62" t="str">
        <f>IF(AND(M175&gt;=VLOOKUP(M175,データ!$E$3:$G$9,1,TRUE),M175&lt;=VLOOKUP(M175,データ!$E$3:$G$9,2,TRUE)),VLOOKUP(M175,データ!$E$3:$G$9,3,TRUE),"")</f>
        <v/>
      </c>
      <c r="P175" s="67" t="str">
        <f>IF(AND(M175&gt;=VLOOKUP(M175,データ!$E$14:$G$21,1,TRUE),M175&lt;=VLOOKUP(M175,データ!$E$14:$G$21,2,TRUE)),VLOOKUP(M175,データ!$E$14:$G$21,3,TRUE),"")</f>
        <v>テーマ展</v>
      </c>
      <c r="Q175" s="44" t="str">
        <f t="shared" si="180"/>
        <v>○</v>
      </c>
      <c r="R175" s="45"/>
      <c r="S175" s="10" t="str">
        <f t="shared" si="181"/>
        <v/>
      </c>
      <c r="T175" s="45"/>
      <c r="U175" s="10" t="str">
        <f t="shared" si="182"/>
        <v>●</v>
      </c>
      <c r="V175" s="32"/>
      <c r="W175" s="10" t="str">
        <f t="shared" si="183"/>
        <v/>
      </c>
      <c r="X175" s="32"/>
      <c r="Y175" s="33" t="str">
        <f t="shared" si="188"/>
        <v>○</v>
      </c>
      <c r="Z175" s="32">
        <f>IF(L175="閉","",(IF(AND(M175&gt;=VLOOKUP(M175,データ!$E$3:$G$9,1,TRUE),M175&lt;=VLOOKUP(M175,データ!$E$3:$G$9,2,TRUE)),VLOOKUP(M175,データ!$E$3:$H$9,4,TRUE),0)+IF(AND(M175&gt;=VLOOKUP(M175,データ!$E$14:$G$21,1,TRUE),M175&lt;=VLOOKUP(M175,データ!$E$14:$G$21,2,TRUE)),VLOOKUP(M175,データ!$E$14:$H$21,4,TRUE),0)))</f>
        <v>1</v>
      </c>
      <c r="AA175" s="33" t="str">
        <f t="shared" si="185"/>
        <v>△</v>
      </c>
      <c r="AB175" s="227">
        <f t="shared" si="186"/>
        <v>0.41666666666666669</v>
      </c>
      <c r="AC175" s="227">
        <f t="shared" si="187"/>
        <v>0.70833333333333337</v>
      </c>
      <c r="AD175" s="228" t="str">
        <f>IF(K175=1,IF(ISERROR(VLOOKUP(M175,データ!$A$3:$C$23,2,FALSE)),"",VLOOKUP(M175,データ!$A$3:$C$23,2,FALSE)),(IF(ISERROR(VLOOKUP(M175,データ!$A$3:$C$23,2,FALSE)),"",VLOOKUP(M175,データ!$A$3:$C$23,2,FALSE))))</f>
        <v/>
      </c>
    </row>
    <row r="176" spans="1:30">
      <c r="A176" s="1">
        <f>IF(AND(M176&gt;=VLOOKUP(M176,データ!$K$3:$O$6,1,TRUE),M176&lt;=VLOOKUP(M176,データ!$K$3:$O$6,2,TRUE)),VLOOKUP(M176,データ!$K$3:$O$6,5,TRUE),"")</f>
        <v>1</v>
      </c>
      <c r="B176" s="74">
        <f>IF(AND(M176&gt;=VLOOKUP(M176,データ!$K$3:$O$6,1,TRUE),M176&lt;=VLOOKUP(M176,データ!$K$3:$O$6,2,TRUE)),VLOOKUP(M176,データ!$K$3:$O$6,3,TRUE),"")</f>
        <v>0.41666666666666669</v>
      </c>
      <c r="C176" s="1">
        <f>IF(AND(M176&gt;=VLOOKUP(M176,データ!$K$11:$O$16,1,TRUE),M176&lt;=VLOOKUP(M176,データ!$K$11:$O$16,2,TRUE)),VLOOKUP(M176,データ!$K$11:$O$16,5,TRUE),0)</f>
        <v>0</v>
      </c>
      <c r="D176" s="74" t="str">
        <f>IF(AND(M176&gt;=VLOOKUP(M176,データ!$K$11:$O$16,1,TRUE),M176&lt;=VLOOKUP(M176,データ!$K$11:$O$16,2,TRUE)),VLOOKUP(M176,データ!$K$11:$O$16,3,TRUE),"")</f>
        <v/>
      </c>
      <c r="E176" s="74">
        <f t="shared" si="176"/>
        <v>0.41666666666666669</v>
      </c>
      <c r="F176" s="75">
        <f>VLOOKUP(E176,データ!$K$20:$O$24,5,FALSE)</f>
        <v>0</v>
      </c>
      <c r="G176" s="74">
        <f>IF(AND(M176&gt;=VLOOKUP(M176,データ!$K$3:$O$6,1,TRUE),M176&lt;=VLOOKUP(M176,データ!$K$3:$O$6,2,TRUE)),VLOOKUP(M176,データ!$K$3:$O$6,4,TRUE),"")</f>
        <v>0.70833333333333337</v>
      </c>
      <c r="H176" s="256">
        <f>INDEX(データ!L$21:N$24,MATCH(配置表!E176,データ!K$21:K$24,0),MATCH(配置表!G176,データ!L$20:N$20,0))</f>
        <v>1</v>
      </c>
      <c r="I176" s="52" t="str">
        <f>IF(ISERROR(VLOOKUP(M176,データ!$A$3:$C$20,3,FALSE)),"",VLOOKUP(M176,データ!$A$3:$C$20,3,FALSE))</f>
        <v/>
      </c>
      <c r="J176" s="52" t="str">
        <f t="shared" si="177"/>
        <v/>
      </c>
      <c r="K176" s="53">
        <f t="shared" si="189"/>
        <v>0</v>
      </c>
      <c r="L176" s="28" t="str">
        <f t="shared" si="178"/>
        <v/>
      </c>
      <c r="M176" s="9">
        <f t="shared" si="190"/>
        <v>45905</v>
      </c>
      <c r="N176" s="10" t="str">
        <f t="shared" si="179"/>
        <v>金</v>
      </c>
      <c r="O176" s="62" t="str">
        <f>IF(AND(M176&gt;=VLOOKUP(M176,データ!$E$3:$G$9,1,TRUE),M176&lt;=VLOOKUP(M176,データ!$E$3:$G$9,2,TRUE)),VLOOKUP(M176,データ!$E$3:$G$9,3,TRUE),"")</f>
        <v/>
      </c>
      <c r="P176" s="67" t="str">
        <f>IF(AND(M176&gt;=VLOOKUP(M176,データ!$E$14:$G$21,1,TRUE),M176&lt;=VLOOKUP(M176,データ!$E$14:$G$21,2,TRUE)),VLOOKUP(M176,データ!$E$14:$G$21,3,TRUE),"")</f>
        <v>テーマ展</v>
      </c>
      <c r="Q176" s="44" t="str">
        <f t="shared" si="180"/>
        <v>○</v>
      </c>
      <c r="R176" s="45"/>
      <c r="S176" s="10" t="str">
        <f t="shared" si="181"/>
        <v/>
      </c>
      <c r="T176" s="45"/>
      <c r="U176" s="10" t="str">
        <f t="shared" si="182"/>
        <v>●</v>
      </c>
      <c r="V176" s="32"/>
      <c r="W176" s="10" t="str">
        <f t="shared" si="183"/>
        <v/>
      </c>
      <c r="X176" s="32"/>
      <c r="Y176" s="33" t="str">
        <f t="shared" si="188"/>
        <v>○</v>
      </c>
      <c r="Z176" s="32">
        <f>IF(L176="閉","",(IF(AND(M176&gt;=VLOOKUP(M176,データ!$E$3:$G$9,1,TRUE),M176&lt;=VLOOKUP(M176,データ!$E$3:$G$9,2,TRUE)),VLOOKUP(M176,データ!$E$3:$H$9,4,TRUE),0)+IF(AND(M176&gt;=VLOOKUP(M176,データ!$E$14:$G$21,1,TRUE),M176&lt;=VLOOKUP(M176,データ!$E$14:$G$21,2,TRUE)),VLOOKUP(M176,データ!$E$14:$H$21,4,TRUE),0)))</f>
        <v>1</v>
      </c>
      <c r="AA176" s="33" t="str">
        <f t="shared" si="185"/>
        <v>△</v>
      </c>
      <c r="AB176" s="227">
        <f t="shared" si="186"/>
        <v>0.41666666666666669</v>
      </c>
      <c r="AC176" s="227">
        <f t="shared" si="187"/>
        <v>0.70833333333333337</v>
      </c>
      <c r="AD176" s="228" t="str">
        <f>IF(K176=1,IF(ISERROR(VLOOKUP(M176,データ!$A$3:$C$23,2,FALSE)),"",VLOOKUP(M176,データ!$A$3:$C$23,2,FALSE)),(IF(ISERROR(VLOOKUP(M176,データ!$A$3:$C$23,2,FALSE)),"",VLOOKUP(M176,データ!$A$3:$C$23,2,FALSE))))</f>
        <v/>
      </c>
    </row>
    <row r="177" spans="1:30">
      <c r="A177" s="1">
        <f>IF(AND(M177&gt;=VLOOKUP(M177,データ!$K$3:$O$6,1,TRUE),M177&lt;=VLOOKUP(M177,データ!$K$3:$O$6,2,TRUE)),VLOOKUP(M177,データ!$K$3:$O$6,5,TRUE),"")</f>
        <v>1</v>
      </c>
      <c r="B177" s="74">
        <f>IF(AND(M177&gt;=VLOOKUP(M177,データ!$K$3:$O$6,1,TRUE),M177&lt;=VLOOKUP(M177,データ!$K$3:$O$6,2,TRUE)),VLOOKUP(M177,データ!$K$3:$O$6,3,TRUE),"")</f>
        <v>0.41666666666666669</v>
      </c>
      <c r="C177" s="1">
        <f>IF(AND(M177&gt;=VLOOKUP(M177,データ!$K$11:$O$16,1,TRUE),M177&lt;=VLOOKUP(M177,データ!$K$11:$O$16,2,TRUE)),VLOOKUP(M177,データ!$K$11:$O$16,5,TRUE),0)</f>
        <v>0</v>
      </c>
      <c r="D177" s="74" t="str">
        <f>IF(AND(M177&gt;=VLOOKUP(M177,データ!$K$11:$O$16,1,TRUE),M177&lt;=VLOOKUP(M177,データ!$K$11:$O$16,2,TRUE)),VLOOKUP(M177,データ!$K$11:$O$16,3,TRUE),"")</f>
        <v/>
      </c>
      <c r="E177" s="74">
        <f t="shared" si="176"/>
        <v>0.41666666666666669</v>
      </c>
      <c r="F177" s="75">
        <f>VLOOKUP(E177,データ!$K$20:$O$24,5,FALSE)</f>
        <v>0</v>
      </c>
      <c r="G177" s="74">
        <f>IF(AND(M177&gt;=VLOOKUP(M177,データ!$K$3:$O$6,1,TRUE),M177&lt;=VLOOKUP(M177,データ!$K$3:$O$6,2,TRUE)),VLOOKUP(M177,データ!$K$3:$O$6,4,TRUE),"")</f>
        <v>0.70833333333333337</v>
      </c>
      <c r="H177" s="256">
        <f>INDEX(データ!L$21:N$24,MATCH(配置表!E177,データ!K$21:K$24,0),MATCH(配置表!G177,データ!L$20:N$20,0))</f>
        <v>1</v>
      </c>
      <c r="I177" s="52" t="str">
        <f>IF(ISERROR(VLOOKUP(M177,データ!$A$3:$C$20,3,FALSE)),"",VLOOKUP(M177,データ!$A$3:$C$20,3,FALSE))</f>
        <v/>
      </c>
      <c r="J177" s="52" t="str">
        <f t="shared" si="177"/>
        <v/>
      </c>
      <c r="K177" s="53">
        <f t="shared" si="189"/>
        <v>0</v>
      </c>
      <c r="L177" s="28" t="str">
        <f t="shared" si="178"/>
        <v/>
      </c>
      <c r="M177" s="9">
        <f t="shared" si="190"/>
        <v>45906</v>
      </c>
      <c r="N177" s="10" t="str">
        <f t="shared" si="179"/>
        <v>土</v>
      </c>
      <c r="O177" s="62" t="str">
        <f>IF(AND(M177&gt;=VLOOKUP(M177,データ!$E$3:$G$9,1,TRUE),M177&lt;=VLOOKUP(M177,データ!$E$3:$G$9,2,TRUE)),VLOOKUP(M177,データ!$E$3:$G$9,3,TRUE),"")</f>
        <v>秋　特別展</v>
      </c>
      <c r="P177" s="67" t="str">
        <f>IF(AND(M177&gt;=VLOOKUP(M177,データ!$E$14:$G$21,1,TRUE),M177&lt;=VLOOKUP(M177,データ!$E$14:$G$21,2,TRUE)),VLOOKUP(M177,データ!$E$14:$G$21,3,TRUE),"")</f>
        <v>テーマ展</v>
      </c>
      <c r="Q177" s="44" t="str">
        <f t="shared" si="180"/>
        <v>○</v>
      </c>
      <c r="R177" s="45"/>
      <c r="S177" s="10" t="str">
        <f t="shared" si="181"/>
        <v>○</v>
      </c>
      <c r="T177" s="45"/>
      <c r="U177" s="33" t="str">
        <f t="shared" si="182"/>
        <v>●</v>
      </c>
      <c r="V177" s="32"/>
      <c r="W177" s="33" t="str">
        <f t="shared" ref="W177:W178" si="191">IF(L177="閉","休",IF(O177="","",IF(OR(N177="土",N177="日",I177=1),IF(OR(O177="ダミー　特別展",O177="ダミー　特別展"),"◎",IF(OR(O177="夏　特別展",O177="秋　特別展",O177="春　特別展"),"◎","")),"")))</f>
        <v>◎</v>
      </c>
      <c r="X177" s="32"/>
      <c r="Y177" s="33" t="str">
        <f t="shared" si="188"/>
        <v>○</v>
      </c>
      <c r="Z177" s="32">
        <f>IF(L177="閉","",(IF(AND(M177&gt;=VLOOKUP(M177,データ!$E$3:$G$9,1,TRUE),M177&lt;=VLOOKUP(M177,データ!$E$3:$G$9,2,TRUE)),VLOOKUP(M177,データ!$E$3:$H$9,4,TRUE),0)+IF(AND(M177&gt;=VLOOKUP(M177,データ!$E$14:$G$21,1,TRUE),M177&lt;=VLOOKUP(M177,データ!$E$14:$G$21,2,TRUE)),VLOOKUP(M177,データ!$E$14:$H$21,4,TRUE),0)))</f>
        <v>5</v>
      </c>
      <c r="AA177" s="33" t="str">
        <f t="shared" si="185"/>
        <v>○</v>
      </c>
      <c r="AB177" s="227">
        <f t="shared" si="186"/>
        <v>0.41666666666666669</v>
      </c>
      <c r="AC177" s="227">
        <f t="shared" si="187"/>
        <v>0.70833333333333337</v>
      </c>
      <c r="AD177" s="228" t="str">
        <f>IF(K177=1,IF(ISERROR(VLOOKUP(M177,データ!$A$3:$C$23,2,FALSE)),"",VLOOKUP(M177,データ!$A$3:$C$23,2,FALSE)),(IF(ISERROR(VLOOKUP(M177,データ!$A$3:$C$23,2,FALSE)),"",VLOOKUP(M177,データ!$A$3:$C$23,2,FALSE))))</f>
        <v/>
      </c>
    </row>
    <row r="178" spans="1:30">
      <c r="A178" s="1">
        <f>IF(AND(M178&gt;=VLOOKUP(M178,データ!$K$3:$O$6,1,TRUE),M178&lt;=VLOOKUP(M178,データ!$K$3:$O$6,2,TRUE)),VLOOKUP(M178,データ!$K$3:$O$6,5,TRUE),"")</f>
        <v>1</v>
      </c>
      <c r="B178" s="74">
        <f>IF(AND(M178&gt;=VLOOKUP(M178,データ!$K$3:$O$6,1,TRUE),M178&lt;=VLOOKUP(M178,データ!$K$3:$O$6,2,TRUE)),VLOOKUP(M178,データ!$K$3:$O$6,3,TRUE),"")</f>
        <v>0.41666666666666669</v>
      </c>
      <c r="C178" s="1">
        <f>IF(AND(M178&gt;=VLOOKUP(M178,データ!$K$11:$O$16,1,TRUE),M178&lt;=VLOOKUP(M178,データ!$K$11:$O$16,2,TRUE)),VLOOKUP(M178,データ!$K$11:$O$16,5,TRUE),0)</f>
        <v>0</v>
      </c>
      <c r="D178" s="74" t="str">
        <f>IF(AND(M178&gt;=VLOOKUP(M178,データ!$K$11:$O$16,1,TRUE),M178&lt;=VLOOKUP(M178,データ!$K$11:$O$16,2,TRUE)),VLOOKUP(M178,データ!$K$11:$O$16,3,TRUE),"")</f>
        <v/>
      </c>
      <c r="E178" s="74">
        <f t="shared" si="176"/>
        <v>0.41666666666666669</v>
      </c>
      <c r="F178" s="75">
        <f>VLOOKUP(E178,データ!$K$20:$O$24,5,FALSE)</f>
        <v>0</v>
      </c>
      <c r="G178" s="74">
        <f>IF(AND(M178&gt;=VLOOKUP(M178,データ!$K$3:$O$6,1,TRUE),M178&lt;=VLOOKUP(M178,データ!$K$3:$O$6,2,TRUE)),VLOOKUP(M178,データ!$K$3:$O$6,4,TRUE),"")</f>
        <v>0.70833333333333337</v>
      </c>
      <c r="H178" s="256">
        <f>INDEX(データ!L$21:N$24,MATCH(配置表!E178,データ!K$21:K$24,0),MATCH(配置表!G178,データ!L$20:N$20,0))</f>
        <v>1</v>
      </c>
      <c r="I178" s="52" t="str">
        <f>IF(ISERROR(VLOOKUP(M178,データ!$A$3:$C$20,3,FALSE)),"",VLOOKUP(M178,データ!$A$3:$C$20,3,FALSE))</f>
        <v/>
      </c>
      <c r="J178" s="52" t="str">
        <f t="shared" si="177"/>
        <v/>
      </c>
      <c r="K178" s="53">
        <f t="shared" si="189"/>
        <v>0</v>
      </c>
      <c r="L178" s="28" t="str">
        <f t="shared" si="178"/>
        <v/>
      </c>
      <c r="M178" s="9">
        <f t="shared" si="190"/>
        <v>45907</v>
      </c>
      <c r="N178" s="10" t="str">
        <f t="shared" si="179"/>
        <v>日</v>
      </c>
      <c r="O178" s="62" t="str">
        <f>IF(AND(M178&gt;=VLOOKUP(M178,データ!$E$3:$G$9,1,TRUE),M178&lt;=VLOOKUP(M178,データ!$E$3:$G$9,2,TRUE)),VLOOKUP(M178,データ!$E$3:$G$9,3,TRUE),"")</f>
        <v>秋　特別展</v>
      </c>
      <c r="P178" s="67" t="str">
        <f>IF(AND(M178&gt;=VLOOKUP(M178,データ!$E$14:$G$21,1,TRUE),M178&lt;=VLOOKUP(M178,データ!$E$14:$G$21,2,TRUE)),VLOOKUP(M178,データ!$E$14:$G$21,3,TRUE),"")</f>
        <v>テーマ展</v>
      </c>
      <c r="Q178" s="44" t="str">
        <f t="shared" si="180"/>
        <v>○</v>
      </c>
      <c r="R178" s="45"/>
      <c r="S178" s="10" t="str">
        <f t="shared" si="181"/>
        <v>○</v>
      </c>
      <c r="T178" s="45"/>
      <c r="U178" s="33" t="str">
        <f t="shared" si="182"/>
        <v>●</v>
      </c>
      <c r="V178" s="32"/>
      <c r="W178" s="33" t="str">
        <f t="shared" si="191"/>
        <v>◎</v>
      </c>
      <c r="X178" s="32"/>
      <c r="Y178" s="33" t="str">
        <f t="shared" si="188"/>
        <v>○</v>
      </c>
      <c r="Z178" s="32">
        <f>IF(L178="閉","",(IF(AND(M178&gt;=VLOOKUP(M178,データ!$E$3:$G$9,1,TRUE),M178&lt;=VLOOKUP(M178,データ!$E$3:$G$9,2,TRUE)),VLOOKUP(M178,データ!$E$3:$H$9,4,TRUE),0)+IF(AND(M178&gt;=VLOOKUP(M178,データ!$E$14:$G$21,1,TRUE),M178&lt;=VLOOKUP(M178,データ!$E$14:$G$21,2,TRUE)),VLOOKUP(M178,データ!$E$14:$H$21,4,TRUE),0)))</f>
        <v>5</v>
      </c>
      <c r="AA178" s="33" t="str">
        <f t="shared" si="185"/>
        <v>○</v>
      </c>
      <c r="AB178" s="227">
        <f t="shared" si="186"/>
        <v>0.41666666666666669</v>
      </c>
      <c r="AC178" s="227">
        <f t="shared" si="187"/>
        <v>0.70833333333333337</v>
      </c>
      <c r="AD178" s="228" t="str">
        <f>IF(K178=1,IF(ISERROR(VLOOKUP(M178,データ!$A$3:$C$23,2,FALSE)),"",VLOOKUP(M178,データ!$A$3:$C$23,2,FALSE)),(IF(ISERROR(VLOOKUP(M178,データ!$A$3:$C$23,2,FALSE)),"",VLOOKUP(M178,データ!$A$3:$C$23,2,FALSE))))</f>
        <v/>
      </c>
    </row>
    <row r="179" spans="1:30">
      <c r="A179" s="1">
        <f>IF(AND(M179&gt;=VLOOKUP(M179,データ!$K$3:$O$6,1,TRUE),M179&lt;=VLOOKUP(M179,データ!$K$3:$O$6,2,TRUE)),VLOOKUP(M179,データ!$K$3:$O$6,5,TRUE),"")</f>
        <v>1</v>
      </c>
      <c r="B179" s="74">
        <f>IF(AND(M179&gt;=VLOOKUP(M179,データ!$K$3:$O$6,1,TRUE),M179&lt;=VLOOKUP(M179,データ!$K$3:$O$6,2,TRUE)),VLOOKUP(M179,データ!$K$3:$O$6,3,TRUE),"")</f>
        <v>0.41666666666666669</v>
      </c>
      <c r="C179" s="1">
        <f>IF(AND(M179&gt;=VLOOKUP(M179,データ!$K$11:$O$16,1,TRUE),M179&lt;=VLOOKUP(M179,データ!$K$11:$O$16,2,TRUE)),VLOOKUP(M179,データ!$K$11:$O$16,5,TRUE),0)</f>
        <v>0</v>
      </c>
      <c r="D179" s="74" t="str">
        <f>IF(AND(M179&gt;=VLOOKUP(M179,データ!$K$11:$O$16,1,TRUE),M179&lt;=VLOOKUP(M179,データ!$K$11:$O$16,2,TRUE)),VLOOKUP(M179,データ!$K$11:$O$16,3,TRUE),"")</f>
        <v/>
      </c>
      <c r="E179" s="74">
        <f t="shared" si="176"/>
        <v>0.41666666666666669</v>
      </c>
      <c r="F179" s="75">
        <f>VLOOKUP(E179,データ!$K$20:$O$24,5,FALSE)</f>
        <v>0</v>
      </c>
      <c r="G179" s="74">
        <f>IF(AND(M179&gt;=VLOOKUP(M179,データ!$K$3:$O$6,1,TRUE),M179&lt;=VLOOKUP(M179,データ!$K$3:$O$6,2,TRUE)),VLOOKUP(M179,データ!$K$3:$O$6,4,TRUE),"")</f>
        <v>0.70833333333333337</v>
      </c>
      <c r="H179" s="256">
        <f>INDEX(データ!L$21:N$24,MATCH(配置表!E179,データ!K$21:K$24,0),MATCH(配置表!G179,データ!L$20:N$20,0))</f>
        <v>1</v>
      </c>
      <c r="I179" s="52" t="str">
        <f>IF(ISERROR(VLOOKUP(M179,データ!$A$3:$C$20,3,FALSE)),"",VLOOKUP(M179,データ!$A$3:$C$20,3,FALSE))</f>
        <v/>
      </c>
      <c r="J179" s="52">
        <f t="shared" si="177"/>
        <v>1</v>
      </c>
      <c r="K179" s="53">
        <f t="shared" si="189"/>
        <v>1</v>
      </c>
      <c r="L179" s="28" t="str">
        <f t="shared" si="178"/>
        <v>閉</v>
      </c>
      <c r="M179" s="9">
        <f t="shared" si="190"/>
        <v>45908</v>
      </c>
      <c r="N179" s="10" t="str">
        <f t="shared" si="179"/>
        <v>月</v>
      </c>
      <c r="O179" s="62" t="str">
        <f>IF(AND(M179&gt;=VLOOKUP(M179,データ!$E$3:$G$9,1,TRUE),M179&lt;=VLOOKUP(M179,データ!$E$3:$G$9,2,TRUE)),VLOOKUP(M179,データ!$E$3:$G$9,3,TRUE),"")</f>
        <v>秋　特別展</v>
      </c>
      <c r="P179" s="67" t="str">
        <f>IF(AND(M179&gt;=VLOOKUP(M179,データ!$E$14:$G$21,1,TRUE),M179&lt;=VLOOKUP(M179,データ!$E$14:$G$21,2,TRUE)),VLOOKUP(M179,データ!$E$14:$G$21,3,TRUE),"")</f>
        <v>テーマ展</v>
      </c>
      <c r="Q179" s="44" t="str">
        <f t="shared" si="180"/>
        <v>休</v>
      </c>
      <c r="R179" s="32"/>
      <c r="S179" s="33" t="str">
        <f t="shared" si="181"/>
        <v>休</v>
      </c>
      <c r="T179" s="32"/>
      <c r="U179" s="33" t="str">
        <f t="shared" si="182"/>
        <v>休</v>
      </c>
      <c r="V179" s="32"/>
      <c r="W179" s="33" t="str">
        <f t="shared" si="183"/>
        <v>休</v>
      </c>
      <c r="X179" s="32"/>
      <c r="Y179" s="33" t="str">
        <f t="shared" si="188"/>
        <v>休</v>
      </c>
      <c r="Z179" s="32" t="str">
        <f>IF(L179="閉","",(IF(AND(M179&gt;=VLOOKUP(M179,データ!$E$3:$G$9,1,TRUE),M179&lt;=VLOOKUP(M179,データ!$E$3:$G$9,2,TRUE)),VLOOKUP(M179,データ!$E$3:$H$9,4,TRUE),0)+IF(AND(M179&gt;=VLOOKUP(M179,データ!$E$14:$G$21,1,TRUE),M179&lt;=VLOOKUP(M179,データ!$E$14:$G$21,2,TRUE)),VLOOKUP(M179,データ!$E$14:$H$21,4,TRUE),0)))</f>
        <v/>
      </c>
      <c r="AA179" s="33" t="str">
        <f t="shared" si="185"/>
        <v>休</v>
      </c>
      <c r="AB179" s="227" t="str">
        <f t="shared" si="186"/>
        <v/>
      </c>
      <c r="AC179" s="227" t="str">
        <f t="shared" si="187"/>
        <v/>
      </c>
      <c r="AD179" s="228" t="str">
        <f>IF(K179=1,IF(ISERROR(VLOOKUP(M179,データ!$A$3:$C$23,2,FALSE)),"",VLOOKUP(M179,データ!$A$3:$C$23,2,FALSE)),(IF(ISERROR(VLOOKUP(M179,データ!$A$3:$C$23,2,FALSE)),"",VLOOKUP(M179,データ!$A$3:$C$23,2,FALSE))))</f>
        <v/>
      </c>
    </row>
    <row r="180" spans="1:30">
      <c r="A180" s="1">
        <f>IF(AND(M180&gt;=VLOOKUP(M180,データ!$K$3:$O$6,1,TRUE),M180&lt;=VLOOKUP(M180,データ!$K$3:$O$6,2,TRUE)),VLOOKUP(M180,データ!$K$3:$O$6,5,TRUE),"")</f>
        <v>1</v>
      </c>
      <c r="B180" s="74">
        <f>IF(AND(M180&gt;=VLOOKUP(M180,データ!$K$3:$O$6,1,TRUE),M180&lt;=VLOOKUP(M180,データ!$K$3:$O$6,2,TRUE)),VLOOKUP(M180,データ!$K$3:$O$6,3,TRUE),"")</f>
        <v>0.41666666666666669</v>
      </c>
      <c r="C180" s="1">
        <f>IF(AND(M180&gt;=VLOOKUP(M180,データ!$K$11:$O$16,1,TRUE),M180&lt;=VLOOKUP(M180,データ!$K$11:$O$16,2,TRUE)),VLOOKUP(M180,データ!$K$11:$O$16,5,TRUE),0)</f>
        <v>0</v>
      </c>
      <c r="D180" s="74" t="str">
        <f>IF(AND(M180&gt;=VLOOKUP(M180,データ!$K$11:$O$16,1,TRUE),M180&lt;=VLOOKUP(M180,データ!$K$11:$O$16,2,TRUE)),VLOOKUP(M180,データ!$K$11:$O$16,3,TRUE),"")</f>
        <v/>
      </c>
      <c r="E180" s="74">
        <f t="shared" si="176"/>
        <v>0.41666666666666669</v>
      </c>
      <c r="F180" s="75">
        <f>VLOOKUP(E180,データ!$K$20:$O$24,5,FALSE)</f>
        <v>0</v>
      </c>
      <c r="G180" s="74">
        <f>IF(AND(M180&gt;=VLOOKUP(M180,データ!$K$3:$O$6,1,TRUE),M180&lt;=VLOOKUP(M180,データ!$K$3:$O$6,2,TRUE)),VLOOKUP(M180,データ!$K$3:$O$6,4,TRUE),"")</f>
        <v>0.70833333333333337</v>
      </c>
      <c r="H180" s="256">
        <f>INDEX(データ!L$21:N$24,MATCH(配置表!E180,データ!K$21:K$24,0),MATCH(配置表!G180,データ!L$20:N$20,0))</f>
        <v>1</v>
      </c>
      <c r="I180" s="52" t="str">
        <f>IF(ISERROR(VLOOKUP(M180,データ!$A$3:$C$20,3,FALSE)),"",VLOOKUP(M180,データ!$A$3:$C$20,3,FALSE))</f>
        <v/>
      </c>
      <c r="J180" s="52" t="str">
        <f t="shared" si="177"/>
        <v/>
      </c>
      <c r="K180" s="53">
        <f t="shared" si="189"/>
        <v>0</v>
      </c>
      <c r="L180" s="28" t="str">
        <f t="shared" si="178"/>
        <v/>
      </c>
      <c r="M180" s="9">
        <f t="shared" si="190"/>
        <v>45909</v>
      </c>
      <c r="N180" s="10" t="str">
        <f t="shared" si="179"/>
        <v>火</v>
      </c>
      <c r="O180" s="62" t="str">
        <f>IF(AND(M180&gt;=VLOOKUP(M180,データ!$E$3:$G$9,1,TRUE),M180&lt;=VLOOKUP(M180,データ!$E$3:$G$9,2,TRUE)),VLOOKUP(M180,データ!$E$3:$G$9,3,TRUE),"")</f>
        <v>秋　特別展</v>
      </c>
      <c r="P180" s="67" t="str">
        <f>IF(AND(M180&gt;=VLOOKUP(M180,データ!$E$14:$G$21,1,TRUE),M180&lt;=VLOOKUP(M180,データ!$E$14:$G$21,2,TRUE)),VLOOKUP(M180,データ!$E$14:$G$21,3,TRUE),"")</f>
        <v>テーマ展</v>
      </c>
      <c r="Q180" s="44" t="str">
        <f t="shared" si="180"/>
        <v>○</v>
      </c>
      <c r="R180" s="45"/>
      <c r="S180" s="33" t="str">
        <f t="shared" ref="S180:S183" si="192">IF(H180="閉","休",IF(K180="","",IF(OR(J180="土",J180="日",E180=1),IF(OR(K180="ダミー　特別展",K180="ダミー　特別展"),"◎",IF(OR(K180="夏　特別展",K180="秋　特別展",K180="春　特別展"),"○","")),"")))</f>
        <v/>
      </c>
      <c r="T180" s="45"/>
      <c r="U180" s="33" t="str">
        <f t="shared" si="182"/>
        <v>●</v>
      </c>
      <c r="V180" s="32"/>
      <c r="W180" s="33" t="str">
        <f t="shared" ref="W180:W183" si="193">IF(P180="閉","休",IF(O180="","",IF(O180="冬　特別展",IF(OR(N180="土",N180="日",M180=1),"○",""),"○")))</f>
        <v>○</v>
      </c>
      <c r="X180" s="32"/>
      <c r="Y180" s="33" t="str">
        <f t="shared" si="188"/>
        <v>○</v>
      </c>
      <c r="Z180" s="32">
        <f>IF(L180="閉","",(IF(AND(M180&gt;=VLOOKUP(M180,データ!$E$3:$G$9,1,TRUE),M180&lt;=VLOOKUP(M180,データ!$E$3:$G$9,2,TRUE)),VLOOKUP(M180,データ!$E$3:$H$9,4,TRUE),0)+IF(AND(M180&gt;=VLOOKUP(M180,データ!$E$14:$G$21,1,TRUE),M180&lt;=VLOOKUP(M180,データ!$E$14:$G$21,2,TRUE)),VLOOKUP(M180,データ!$E$14:$H$21,4,TRUE),0)))</f>
        <v>5</v>
      </c>
      <c r="AA180" s="33" t="str">
        <f t="shared" si="185"/>
        <v>○</v>
      </c>
      <c r="AB180" s="227">
        <f t="shared" si="186"/>
        <v>0.41666666666666669</v>
      </c>
      <c r="AC180" s="227">
        <f t="shared" si="187"/>
        <v>0.70833333333333337</v>
      </c>
      <c r="AD180" s="228" t="str">
        <f>IF(K180=1,IF(ISERROR(VLOOKUP(M180,データ!$A$3:$C$23,2,FALSE)),"",VLOOKUP(M180,データ!$A$3:$C$23,2,FALSE)),(IF(ISERROR(VLOOKUP(M180,データ!$A$3:$C$23,2,FALSE)),"",VLOOKUP(M180,データ!$A$3:$C$23,2,FALSE))))</f>
        <v/>
      </c>
    </row>
    <row r="181" spans="1:30">
      <c r="A181" s="1">
        <f>IF(AND(M181&gt;=VLOOKUP(M181,データ!$K$3:$O$6,1,TRUE),M181&lt;=VLOOKUP(M181,データ!$K$3:$O$6,2,TRUE)),VLOOKUP(M181,データ!$K$3:$O$6,5,TRUE),"")</f>
        <v>1</v>
      </c>
      <c r="B181" s="74">
        <f>IF(AND(M181&gt;=VLOOKUP(M181,データ!$K$3:$O$6,1,TRUE),M181&lt;=VLOOKUP(M181,データ!$K$3:$O$6,2,TRUE)),VLOOKUP(M181,データ!$K$3:$O$6,3,TRUE),"")</f>
        <v>0.41666666666666669</v>
      </c>
      <c r="C181" s="1">
        <f>IF(AND(M181&gt;=VLOOKUP(M181,データ!$K$11:$O$16,1,TRUE),M181&lt;=VLOOKUP(M181,データ!$K$11:$O$16,2,TRUE)),VLOOKUP(M181,データ!$K$11:$O$16,5,TRUE),0)</f>
        <v>0</v>
      </c>
      <c r="D181" s="74" t="str">
        <f>IF(AND(M181&gt;=VLOOKUP(M181,データ!$K$11:$O$16,1,TRUE),M181&lt;=VLOOKUP(M181,データ!$K$11:$O$16,2,TRUE)),VLOOKUP(M181,データ!$K$11:$O$16,3,TRUE),"")</f>
        <v/>
      </c>
      <c r="E181" s="74">
        <f t="shared" si="176"/>
        <v>0.41666666666666669</v>
      </c>
      <c r="F181" s="75">
        <f>VLOOKUP(E181,データ!$K$20:$O$24,5,FALSE)</f>
        <v>0</v>
      </c>
      <c r="G181" s="74">
        <f>IF(AND(M181&gt;=VLOOKUP(M181,データ!$K$3:$O$6,1,TRUE),M181&lt;=VLOOKUP(M181,データ!$K$3:$O$6,2,TRUE)),VLOOKUP(M181,データ!$K$3:$O$6,4,TRUE),"")</f>
        <v>0.70833333333333337</v>
      </c>
      <c r="H181" s="256">
        <f>INDEX(データ!L$21:N$24,MATCH(配置表!E181,データ!K$21:K$24,0),MATCH(配置表!G181,データ!L$20:N$20,0))</f>
        <v>1</v>
      </c>
      <c r="I181" s="52" t="str">
        <f>IF(ISERROR(VLOOKUP(M181,データ!$A$3:$C$20,3,FALSE)),"",VLOOKUP(M181,データ!$A$3:$C$20,3,FALSE))</f>
        <v/>
      </c>
      <c r="J181" s="52" t="str">
        <f t="shared" si="177"/>
        <v/>
      </c>
      <c r="K181" s="53">
        <f t="shared" si="189"/>
        <v>0</v>
      </c>
      <c r="L181" s="28" t="str">
        <f t="shared" si="178"/>
        <v/>
      </c>
      <c r="M181" s="9">
        <f t="shared" si="190"/>
        <v>45910</v>
      </c>
      <c r="N181" s="10" t="str">
        <f t="shared" si="179"/>
        <v>水</v>
      </c>
      <c r="O181" s="62" t="str">
        <f>IF(AND(M181&gt;=VLOOKUP(M181,データ!$E$3:$G$9,1,TRUE),M181&lt;=VLOOKUP(M181,データ!$E$3:$G$9,2,TRUE)),VLOOKUP(M181,データ!$E$3:$G$9,3,TRUE),"")</f>
        <v>秋　特別展</v>
      </c>
      <c r="P181" s="67" t="str">
        <f>IF(AND(M181&gt;=VLOOKUP(M181,データ!$E$14:$G$21,1,TRUE),M181&lt;=VLOOKUP(M181,データ!$E$14:$G$21,2,TRUE)),VLOOKUP(M181,データ!$E$14:$G$21,3,TRUE),"")</f>
        <v>テーマ展</v>
      </c>
      <c r="Q181" s="44" t="str">
        <f t="shared" si="180"/>
        <v>○</v>
      </c>
      <c r="R181" s="45"/>
      <c r="S181" s="33" t="str">
        <f t="shared" si="192"/>
        <v/>
      </c>
      <c r="T181" s="45"/>
      <c r="U181" s="33" t="str">
        <f t="shared" si="182"/>
        <v>●</v>
      </c>
      <c r="V181" s="32"/>
      <c r="W181" s="33" t="str">
        <f t="shared" si="193"/>
        <v>○</v>
      </c>
      <c r="X181" s="32"/>
      <c r="Y181" s="33" t="str">
        <f t="shared" si="188"/>
        <v>○</v>
      </c>
      <c r="Z181" s="32">
        <f>IF(L181="閉","",(IF(AND(M181&gt;=VLOOKUP(M181,データ!$E$3:$G$9,1,TRUE),M181&lt;=VLOOKUP(M181,データ!$E$3:$G$9,2,TRUE)),VLOOKUP(M181,データ!$E$3:$H$9,4,TRUE),0)+IF(AND(M181&gt;=VLOOKUP(M181,データ!$E$14:$G$21,1,TRUE),M181&lt;=VLOOKUP(M181,データ!$E$14:$G$21,2,TRUE)),VLOOKUP(M181,データ!$E$14:$H$21,4,TRUE),0)))</f>
        <v>5</v>
      </c>
      <c r="AA181" s="33" t="str">
        <f t="shared" si="185"/>
        <v>○</v>
      </c>
      <c r="AB181" s="227">
        <f t="shared" si="186"/>
        <v>0.41666666666666669</v>
      </c>
      <c r="AC181" s="227">
        <f t="shared" si="187"/>
        <v>0.70833333333333337</v>
      </c>
      <c r="AD181" s="228" t="str">
        <f>IF(K181=1,IF(ISERROR(VLOOKUP(M181,データ!$A$3:$C$23,2,FALSE)),"",VLOOKUP(M181,データ!$A$3:$C$23,2,FALSE)),(IF(ISERROR(VLOOKUP(M181,データ!$A$3:$C$23,2,FALSE)),"",VLOOKUP(M181,データ!$A$3:$C$23,2,FALSE))))</f>
        <v/>
      </c>
    </row>
    <row r="182" spans="1:30">
      <c r="A182" s="1">
        <f>IF(AND(M182&gt;=VLOOKUP(M182,データ!$K$3:$O$6,1,TRUE),M182&lt;=VLOOKUP(M182,データ!$K$3:$O$6,2,TRUE)),VLOOKUP(M182,データ!$K$3:$O$6,5,TRUE),"")</f>
        <v>1</v>
      </c>
      <c r="B182" s="74">
        <f>IF(AND(M182&gt;=VLOOKUP(M182,データ!$K$3:$O$6,1,TRUE),M182&lt;=VLOOKUP(M182,データ!$K$3:$O$6,2,TRUE)),VLOOKUP(M182,データ!$K$3:$O$6,3,TRUE),"")</f>
        <v>0.41666666666666669</v>
      </c>
      <c r="C182" s="1">
        <f>IF(AND(M182&gt;=VLOOKUP(M182,データ!$K$11:$O$16,1,TRUE),M182&lt;=VLOOKUP(M182,データ!$K$11:$O$16,2,TRUE)),VLOOKUP(M182,データ!$K$11:$O$16,5,TRUE),0)</f>
        <v>0</v>
      </c>
      <c r="D182" s="74" t="str">
        <f>IF(AND(M182&gt;=VLOOKUP(M182,データ!$K$11:$O$16,1,TRUE),M182&lt;=VLOOKUP(M182,データ!$K$11:$O$16,2,TRUE)),VLOOKUP(M182,データ!$K$11:$O$16,3,TRUE),"")</f>
        <v/>
      </c>
      <c r="E182" s="74">
        <f t="shared" si="176"/>
        <v>0.41666666666666669</v>
      </c>
      <c r="F182" s="75">
        <f>VLOOKUP(E182,データ!$K$20:$O$24,5,FALSE)</f>
        <v>0</v>
      </c>
      <c r="G182" s="74">
        <f>IF(AND(M182&gt;=VLOOKUP(M182,データ!$K$3:$O$6,1,TRUE),M182&lt;=VLOOKUP(M182,データ!$K$3:$O$6,2,TRUE)),VLOOKUP(M182,データ!$K$3:$O$6,4,TRUE),"")</f>
        <v>0.70833333333333337</v>
      </c>
      <c r="H182" s="256">
        <f>INDEX(データ!L$21:N$24,MATCH(配置表!E182,データ!K$21:K$24,0),MATCH(配置表!G182,データ!L$20:N$20,0))</f>
        <v>1</v>
      </c>
      <c r="I182" s="52" t="str">
        <f>IF(ISERROR(VLOOKUP(M182,データ!$A$3:$C$20,3,FALSE)),"",VLOOKUP(M182,データ!$A$3:$C$20,3,FALSE))</f>
        <v/>
      </c>
      <c r="J182" s="52" t="str">
        <f t="shared" si="177"/>
        <v/>
      </c>
      <c r="K182" s="53">
        <f t="shared" si="189"/>
        <v>0</v>
      </c>
      <c r="L182" s="28" t="str">
        <f t="shared" si="178"/>
        <v/>
      </c>
      <c r="M182" s="9">
        <f t="shared" si="190"/>
        <v>45911</v>
      </c>
      <c r="N182" s="10" t="str">
        <f t="shared" si="179"/>
        <v>木</v>
      </c>
      <c r="O182" s="62" t="str">
        <f>IF(AND(M182&gt;=VLOOKUP(M182,データ!$E$3:$G$9,1,TRUE),M182&lt;=VLOOKUP(M182,データ!$E$3:$G$9,2,TRUE)),VLOOKUP(M182,データ!$E$3:$G$9,3,TRUE),"")</f>
        <v>秋　特別展</v>
      </c>
      <c r="P182" s="67" t="str">
        <f>IF(AND(M182&gt;=VLOOKUP(M182,データ!$E$14:$G$21,1,TRUE),M182&lt;=VLOOKUP(M182,データ!$E$14:$G$21,2,TRUE)),VLOOKUP(M182,データ!$E$14:$G$21,3,TRUE),"")</f>
        <v>テーマ展</v>
      </c>
      <c r="Q182" s="44" t="str">
        <f t="shared" si="180"/>
        <v>○</v>
      </c>
      <c r="R182" s="45"/>
      <c r="S182" s="33" t="str">
        <f t="shared" si="192"/>
        <v/>
      </c>
      <c r="T182" s="45"/>
      <c r="U182" s="33" t="str">
        <f t="shared" si="182"/>
        <v>●</v>
      </c>
      <c r="V182" s="32"/>
      <c r="W182" s="33" t="str">
        <f t="shared" si="193"/>
        <v>○</v>
      </c>
      <c r="X182" s="32"/>
      <c r="Y182" s="33" t="str">
        <f t="shared" si="188"/>
        <v>○</v>
      </c>
      <c r="Z182" s="32">
        <f>IF(L182="閉","",(IF(AND(M182&gt;=VLOOKUP(M182,データ!$E$3:$G$9,1,TRUE),M182&lt;=VLOOKUP(M182,データ!$E$3:$G$9,2,TRUE)),VLOOKUP(M182,データ!$E$3:$H$9,4,TRUE),0)+IF(AND(M182&gt;=VLOOKUP(M182,データ!$E$14:$G$21,1,TRUE),M182&lt;=VLOOKUP(M182,データ!$E$14:$G$21,2,TRUE)),VLOOKUP(M182,データ!$E$14:$H$21,4,TRUE),0)))</f>
        <v>5</v>
      </c>
      <c r="AA182" s="33" t="str">
        <f t="shared" si="185"/>
        <v>○</v>
      </c>
      <c r="AB182" s="227">
        <f t="shared" si="186"/>
        <v>0.41666666666666669</v>
      </c>
      <c r="AC182" s="227">
        <f t="shared" si="187"/>
        <v>0.70833333333333337</v>
      </c>
      <c r="AD182" s="228" t="str">
        <f>IF(K182=1,IF(ISERROR(VLOOKUP(M182,データ!$A$3:$C$23,2,FALSE)),"",VLOOKUP(M182,データ!$A$3:$C$23,2,FALSE)),(IF(ISERROR(VLOOKUP(M182,データ!$A$3:$C$23,2,FALSE)),"",VLOOKUP(M182,データ!$A$3:$C$23,2,FALSE))))</f>
        <v/>
      </c>
    </row>
    <row r="183" spans="1:30">
      <c r="A183" s="1">
        <f>IF(AND(M183&gt;=VLOOKUP(M183,データ!$K$3:$O$6,1,TRUE),M183&lt;=VLOOKUP(M183,データ!$K$3:$O$6,2,TRUE)),VLOOKUP(M183,データ!$K$3:$O$6,5,TRUE),"")</f>
        <v>1</v>
      </c>
      <c r="B183" s="74">
        <f>IF(AND(M183&gt;=VLOOKUP(M183,データ!$K$3:$O$6,1,TRUE),M183&lt;=VLOOKUP(M183,データ!$K$3:$O$6,2,TRUE)),VLOOKUP(M183,データ!$K$3:$O$6,3,TRUE),"")</f>
        <v>0.41666666666666669</v>
      </c>
      <c r="C183" s="1">
        <f>IF(AND(M183&gt;=VLOOKUP(M183,データ!$K$11:$O$16,1,TRUE),M183&lt;=VLOOKUP(M183,データ!$K$11:$O$16,2,TRUE)),VLOOKUP(M183,データ!$K$11:$O$16,5,TRUE),0)</f>
        <v>0</v>
      </c>
      <c r="D183" s="74" t="str">
        <f>IF(AND(M183&gt;=VLOOKUP(M183,データ!$K$11:$O$16,1,TRUE),M183&lt;=VLOOKUP(M183,データ!$K$11:$O$16,2,TRUE)),VLOOKUP(M183,データ!$K$11:$O$16,3,TRUE),"")</f>
        <v/>
      </c>
      <c r="E183" s="74">
        <f t="shared" si="176"/>
        <v>0.41666666666666669</v>
      </c>
      <c r="F183" s="75">
        <f>VLOOKUP(E183,データ!$K$20:$O$24,5,FALSE)</f>
        <v>0</v>
      </c>
      <c r="G183" s="74">
        <f>IF(AND(M183&gt;=VLOOKUP(M183,データ!$K$3:$O$6,1,TRUE),M183&lt;=VLOOKUP(M183,データ!$K$3:$O$6,2,TRUE)),VLOOKUP(M183,データ!$K$3:$O$6,4,TRUE),"")</f>
        <v>0.70833333333333337</v>
      </c>
      <c r="H183" s="256">
        <f>INDEX(データ!L$21:N$24,MATCH(配置表!E183,データ!K$21:K$24,0),MATCH(配置表!G183,データ!L$20:N$20,0))</f>
        <v>1</v>
      </c>
      <c r="I183" s="52" t="str">
        <f>IF(ISERROR(VLOOKUP(M183,データ!$A$3:$C$20,3,FALSE)),"",VLOOKUP(M183,データ!$A$3:$C$20,3,FALSE))</f>
        <v/>
      </c>
      <c r="J183" s="52" t="str">
        <f t="shared" si="177"/>
        <v/>
      </c>
      <c r="K183" s="53">
        <f t="shared" si="189"/>
        <v>0</v>
      </c>
      <c r="L183" s="28" t="str">
        <f t="shared" si="178"/>
        <v/>
      </c>
      <c r="M183" s="9">
        <f t="shared" si="190"/>
        <v>45912</v>
      </c>
      <c r="N183" s="10" t="str">
        <f t="shared" si="179"/>
        <v>金</v>
      </c>
      <c r="O183" s="62" t="str">
        <f>IF(AND(M183&gt;=VLOOKUP(M183,データ!$E$3:$G$9,1,TRUE),M183&lt;=VLOOKUP(M183,データ!$E$3:$G$9,2,TRUE)),VLOOKUP(M183,データ!$E$3:$G$9,3,TRUE),"")</f>
        <v>秋　特別展</v>
      </c>
      <c r="P183" s="67" t="str">
        <f>IF(AND(M183&gt;=VLOOKUP(M183,データ!$E$14:$G$21,1,TRUE),M183&lt;=VLOOKUP(M183,データ!$E$14:$G$21,2,TRUE)),VLOOKUP(M183,データ!$E$14:$G$21,3,TRUE),"")</f>
        <v>テーマ展</v>
      </c>
      <c r="Q183" s="44" t="str">
        <f t="shared" si="180"/>
        <v>○</v>
      </c>
      <c r="R183" s="45"/>
      <c r="S183" s="33" t="str">
        <f t="shared" si="192"/>
        <v/>
      </c>
      <c r="T183" s="45"/>
      <c r="U183" s="33" t="str">
        <f t="shared" si="182"/>
        <v>●</v>
      </c>
      <c r="V183" s="32"/>
      <c r="W183" s="33" t="str">
        <f t="shared" si="193"/>
        <v>○</v>
      </c>
      <c r="X183" s="32"/>
      <c r="Y183" s="33" t="str">
        <f t="shared" si="188"/>
        <v>○</v>
      </c>
      <c r="Z183" s="32">
        <f>IF(L183="閉","",(IF(AND(M183&gt;=VLOOKUP(M183,データ!$E$3:$G$9,1,TRUE),M183&lt;=VLOOKUP(M183,データ!$E$3:$G$9,2,TRUE)),VLOOKUP(M183,データ!$E$3:$H$9,4,TRUE),0)+IF(AND(M183&gt;=VLOOKUP(M183,データ!$E$14:$G$21,1,TRUE),M183&lt;=VLOOKUP(M183,データ!$E$14:$G$21,2,TRUE)),VLOOKUP(M183,データ!$E$14:$H$21,4,TRUE),0)))</f>
        <v>5</v>
      </c>
      <c r="AA183" s="33" t="str">
        <f t="shared" si="185"/>
        <v>○</v>
      </c>
      <c r="AB183" s="227">
        <f t="shared" si="186"/>
        <v>0.41666666666666669</v>
      </c>
      <c r="AC183" s="227">
        <f t="shared" si="187"/>
        <v>0.70833333333333337</v>
      </c>
      <c r="AD183" s="228" t="str">
        <f>IF(K183=1,IF(ISERROR(VLOOKUP(M183,データ!$A$3:$C$23,2,FALSE)),"",VLOOKUP(M183,データ!$A$3:$C$23,2,FALSE)),(IF(ISERROR(VLOOKUP(M183,データ!$A$3:$C$23,2,FALSE)),"",VLOOKUP(M183,データ!$A$3:$C$23,2,FALSE))))</f>
        <v/>
      </c>
    </row>
    <row r="184" spans="1:30">
      <c r="A184" s="1">
        <f>IF(AND(M184&gt;=VLOOKUP(M184,データ!$K$3:$O$6,1,TRUE),M184&lt;=VLOOKUP(M184,データ!$K$3:$O$6,2,TRUE)),VLOOKUP(M184,データ!$K$3:$O$6,5,TRUE),"")</f>
        <v>1</v>
      </c>
      <c r="B184" s="74">
        <f>IF(AND(M184&gt;=VLOOKUP(M184,データ!$K$3:$O$6,1,TRUE),M184&lt;=VLOOKUP(M184,データ!$K$3:$O$6,2,TRUE)),VLOOKUP(M184,データ!$K$3:$O$6,3,TRUE),"")</f>
        <v>0.41666666666666669</v>
      </c>
      <c r="C184" s="1">
        <f>IF(AND(M184&gt;=VLOOKUP(M184,データ!$K$11:$O$16,1,TRUE),M184&lt;=VLOOKUP(M184,データ!$K$11:$O$16,2,TRUE)),VLOOKUP(M184,データ!$K$11:$O$16,5,TRUE),0)</f>
        <v>0</v>
      </c>
      <c r="D184" s="74" t="str">
        <f>IF(AND(M184&gt;=VLOOKUP(M184,データ!$K$11:$O$16,1,TRUE),M184&lt;=VLOOKUP(M184,データ!$K$11:$O$16,2,TRUE)),VLOOKUP(M184,データ!$K$11:$O$16,3,TRUE),"")</f>
        <v/>
      </c>
      <c r="E184" s="74">
        <f t="shared" si="176"/>
        <v>0.41666666666666669</v>
      </c>
      <c r="F184" s="75">
        <f>VLOOKUP(E184,データ!$K$20:$O$24,5,FALSE)</f>
        <v>0</v>
      </c>
      <c r="G184" s="74">
        <f>IF(AND(M184&gt;=VLOOKUP(M184,データ!$K$3:$O$6,1,TRUE),M184&lt;=VLOOKUP(M184,データ!$K$3:$O$6,2,TRUE)),VLOOKUP(M184,データ!$K$3:$O$6,4,TRUE),"")</f>
        <v>0.70833333333333337</v>
      </c>
      <c r="H184" s="256">
        <f>INDEX(データ!L$21:N$24,MATCH(配置表!E184,データ!K$21:K$24,0),MATCH(配置表!G184,データ!L$20:N$20,0))</f>
        <v>1</v>
      </c>
      <c r="I184" s="52" t="str">
        <f>IF(ISERROR(VLOOKUP(M184,データ!$A$3:$C$20,3,FALSE)),"",VLOOKUP(M184,データ!$A$3:$C$20,3,FALSE))</f>
        <v/>
      </c>
      <c r="J184" s="52" t="str">
        <f t="shared" si="177"/>
        <v/>
      </c>
      <c r="K184" s="53">
        <f t="shared" si="189"/>
        <v>0</v>
      </c>
      <c r="L184" s="28" t="str">
        <f t="shared" si="178"/>
        <v/>
      </c>
      <c r="M184" s="9">
        <f t="shared" si="190"/>
        <v>45913</v>
      </c>
      <c r="N184" s="10" t="str">
        <f t="shared" si="179"/>
        <v>土</v>
      </c>
      <c r="O184" s="62" t="str">
        <f>IF(AND(M184&gt;=VLOOKUP(M184,データ!$E$3:$G$9,1,TRUE),M184&lt;=VLOOKUP(M184,データ!$E$3:$G$9,2,TRUE)),VLOOKUP(M184,データ!$E$3:$G$9,3,TRUE),"")</f>
        <v>秋　特別展</v>
      </c>
      <c r="P184" s="67" t="str">
        <f>IF(AND(M184&gt;=VLOOKUP(M184,データ!$E$14:$G$21,1,TRUE),M184&lt;=VLOOKUP(M184,データ!$E$14:$G$21,2,TRUE)),VLOOKUP(M184,データ!$E$14:$G$21,3,TRUE),"")</f>
        <v>テーマ展</v>
      </c>
      <c r="Q184" s="44" t="str">
        <f t="shared" si="180"/>
        <v>○</v>
      </c>
      <c r="R184" s="45"/>
      <c r="S184" s="10" t="str">
        <f t="shared" ref="S184:S185" si="194">IF(L184="閉","休",IF(O184="","",IF(O184="冬　特別展",IF(OR(N184="土",N184="日",I184=1),"○",""),"○")))</f>
        <v>○</v>
      </c>
      <c r="T184" s="45"/>
      <c r="U184" s="33" t="str">
        <f t="shared" si="182"/>
        <v>●</v>
      </c>
      <c r="V184" s="32"/>
      <c r="W184" s="33" t="str">
        <f t="shared" ref="W184:W185" si="195">IF(L184="閉","休",IF(O184="","",IF(OR(N184="土",N184="日",I184=1),IF(OR(O184="ダミー　特別展",O184="ダミー　特別展"),"◎",IF(OR(O184="夏　特別展",O184="秋　特別展",O184="春　特別展"),"◎","")),"")))</f>
        <v>◎</v>
      </c>
      <c r="X184" s="32"/>
      <c r="Y184" s="33" t="str">
        <f t="shared" si="188"/>
        <v>○</v>
      </c>
      <c r="Z184" s="32">
        <f>IF(L184="閉","",(IF(AND(M184&gt;=VLOOKUP(M184,データ!$E$3:$G$9,1,TRUE),M184&lt;=VLOOKUP(M184,データ!$E$3:$G$9,2,TRUE)),VLOOKUP(M184,データ!$E$3:$H$9,4,TRUE),0)+IF(AND(M184&gt;=VLOOKUP(M184,データ!$E$14:$G$21,1,TRUE),M184&lt;=VLOOKUP(M184,データ!$E$14:$G$21,2,TRUE)),VLOOKUP(M184,データ!$E$14:$H$21,4,TRUE),0)))</f>
        <v>5</v>
      </c>
      <c r="AA184" s="33" t="str">
        <f t="shared" si="185"/>
        <v>○</v>
      </c>
      <c r="AB184" s="227">
        <f t="shared" si="186"/>
        <v>0.41666666666666669</v>
      </c>
      <c r="AC184" s="227">
        <f t="shared" si="187"/>
        <v>0.70833333333333337</v>
      </c>
      <c r="AD184" s="228" t="str">
        <f>IF(K184=1,IF(ISERROR(VLOOKUP(M184,データ!$A$3:$C$23,2,FALSE)),"",VLOOKUP(M184,データ!$A$3:$C$23,2,FALSE)),(IF(ISERROR(VLOOKUP(M184,データ!$A$3:$C$23,2,FALSE)),"",VLOOKUP(M184,データ!$A$3:$C$23,2,FALSE))))</f>
        <v/>
      </c>
    </row>
    <row r="185" spans="1:30">
      <c r="A185" s="1">
        <f>IF(AND(M185&gt;=VLOOKUP(M185,データ!$K$3:$O$6,1,TRUE),M185&lt;=VLOOKUP(M185,データ!$K$3:$O$6,2,TRUE)),VLOOKUP(M185,データ!$K$3:$O$6,5,TRUE),"")</f>
        <v>1</v>
      </c>
      <c r="B185" s="74">
        <f>IF(AND(M185&gt;=VLOOKUP(M185,データ!$K$3:$O$6,1,TRUE),M185&lt;=VLOOKUP(M185,データ!$K$3:$O$6,2,TRUE)),VLOOKUP(M185,データ!$K$3:$O$6,3,TRUE),"")</f>
        <v>0.41666666666666669</v>
      </c>
      <c r="C185" s="1">
        <f>IF(AND(M185&gt;=VLOOKUP(M185,データ!$K$11:$O$16,1,TRUE),M185&lt;=VLOOKUP(M185,データ!$K$11:$O$16,2,TRUE)),VLOOKUP(M185,データ!$K$11:$O$16,5,TRUE),0)</f>
        <v>0</v>
      </c>
      <c r="D185" s="74" t="str">
        <f>IF(AND(M185&gt;=VLOOKUP(M185,データ!$K$11:$O$16,1,TRUE),M185&lt;=VLOOKUP(M185,データ!$K$11:$O$16,2,TRUE)),VLOOKUP(M185,データ!$K$11:$O$16,3,TRUE),"")</f>
        <v/>
      </c>
      <c r="E185" s="74">
        <f t="shared" si="176"/>
        <v>0.41666666666666669</v>
      </c>
      <c r="F185" s="75">
        <f>VLOOKUP(E185,データ!$K$20:$O$24,5,FALSE)</f>
        <v>0</v>
      </c>
      <c r="G185" s="74">
        <f>IF(AND(M185&gt;=VLOOKUP(M185,データ!$K$3:$O$6,1,TRUE),M185&lt;=VLOOKUP(M185,データ!$K$3:$O$6,2,TRUE)),VLOOKUP(M185,データ!$K$3:$O$6,4,TRUE),"")</f>
        <v>0.70833333333333337</v>
      </c>
      <c r="H185" s="256">
        <f>INDEX(データ!L$21:N$24,MATCH(配置表!E185,データ!K$21:K$24,0),MATCH(配置表!G185,データ!L$20:N$20,0))</f>
        <v>1</v>
      </c>
      <c r="I185" s="52" t="str">
        <f>IF(ISERROR(VLOOKUP(M185,データ!$A$3:$C$20,3,FALSE)),"",VLOOKUP(M185,データ!$A$3:$C$20,3,FALSE))</f>
        <v/>
      </c>
      <c r="J185" s="52" t="str">
        <f t="shared" si="177"/>
        <v/>
      </c>
      <c r="K185" s="53">
        <f t="shared" si="189"/>
        <v>0</v>
      </c>
      <c r="L185" s="28" t="str">
        <f t="shared" si="178"/>
        <v/>
      </c>
      <c r="M185" s="9">
        <f t="shared" si="190"/>
        <v>45914</v>
      </c>
      <c r="N185" s="10" t="str">
        <f t="shared" si="179"/>
        <v>日</v>
      </c>
      <c r="O185" s="62" t="str">
        <f>IF(AND(M185&gt;=VLOOKUP(M185,データ!$E$3:$G$9,1,TRUE),M185&lt;=VLOOKUP(M185,データ!$E$3:$G$9,2,TRUE)),VLOOKUP(M185,データ!$E$3:$G$9,3,TRUE),"")</f>
        <v>秋　特別展</v>
      </c>
      <c r="P185" s="67" t="str">
        <f>IF(AND(M185&gt;=VLOOKUP(M185,データ!$E$14:$G$21,1,TRUE),M185&lt;=VLOOKUP(M185,データ!$E$14:$G$21,2,TRUE)),VLOOKUP(M185,データ!$E$14:$G$21,3,TRUE),"")</f>
        <v>テーマ展</v>
      </c>
      <c r="Q185" s="44" t="str">
        <f t="shared" si="180"/>
        <v>○</v>
      </c>
      <c r="R185" s="45"/>
      <c r="S185" s="10" t="str">
        <f t="shared" si="194"/>
        <v>○</v>
      </c>
      <c r="T185" s="45"/>
      <c r="U185" s="33" t="str">
        <f t="shared" si="182"/>
        <v>●</v>
      </c>
      <c r="V185" s="32"/>
      <c r="W185" s="33" t="str">
        <f t="shared" si="195"/>
        <v>◎</v>
      </c>
      <c r="X185" s="32"/>
      <c r="Y185" s="33" t="str">
        <f t="shared" si="188"/>
        <v>○</v>
      </c>
      <c r="Z185" s="32">
        <f>IF(L185="閉","",(IF(AND(M185&gt;=VLOOKUP(M185,データ!$E$3:$G$9,1,TRUE),M185&lt;=VLOOKUP(M185,データ!$E$3:$G$9,2,TRUE)),VLOOKUP(M185,データ!$E$3:$H$9,4,TRUE),0)+IF(AND(M185&gt;=VLOOKUP(M185,データ!$E$14:$G$21,1,TRUE),M185&lt;=VLOOKUP(M185,データ!$E$14:$G$21,2,TRUE)),VLOOKUP(M185,データ!$E$14:$H$21,4,TRUE),0)))</f>
        <v>5</v>
      </c>
      <c r="AA185" s="33" t="str">
        <f t="shared" si="185"/>
        <v>○</v>
      </c>
      <c r="AB185" s="227">
        <f t="shared" si="186"/>
        <v>0.41666666666666669</v>
      </c>
      <c r="AC185" s="227">
        <f t="shared" si="187"/>
        <v>0.70833333333333337</v>
      </c>
      <c r="AD185" s="228" t="str">
        <f>IF(K185=1,IF(ISERROR(VLOOKUP(M185,データ!$A$3:$C$23,2,FALSE)),"",VLOOKUP(M185,データ!$A$3:$C$23,2,FALSE)),(IF(ISERROR(VLOOKUP(M185,データ!$A$3:$C$23,2,FALSE)),"",VLOOKUP(M185,データ!$A$3:$C$23,2,FALSE))))</f>
        <v/>
      </c>
    </row>
    <row r="186" spans="1:30">
      <c r="A186" s="1">
        <f>IF(AND(M186&gt;=VLOOKUP(M186,データ!$K$3:$O$6,1,TRUE),M186&lt;=VLOOKUP(M186,データ!$K$3:$O$6,2,TRUE)),VLOOKUP(M186,データ!$K$3:$O$6,5,TRUE),"")</f>
        <v>1</v>
      </c>
      <c r="B186" s="74">
        <f>IF(AND(M186&gt;=VLOOKUP(M186,データ!$K$3:$O$6,1,TRUE),M186&lt;=VLOOKUP(M186,データ!$K$3:$O$6,2,TRUE)),VLOOKUP(M186,データ!$K$3:$O$6,3,TRUE),"")</f>
        <v>0.41666666666666669</v>
      </c>
      <c r="C186" s="1">
        <f>IF(AND(M186&gt;=VLOOKUP(M186,データ!$K$11:$O$16,1,TRUE),M186&lt;=VLOOKUP(M186,データ!$K$11:$O$16,2,TRUE)),VLOOKUP(M186,データ!$K$11:$O$16,5,TRUE),0)</f>
        <v>0</v>
      </c>
      <c r="D186" s="74" t="str">
        <f>IF(AND(M186&gt;=VLOOKUP(M186,データ!$K$11:$O$16,1,TRUE),M186&lt;=VLOOKUP(M186,データ!$K$11:$O$16,2,TRUE)),VLOOKUP(M186,データ!$K$11:$O$16,3,TRUE),"")</f>
        <v/>
      </c>
      <c r="E186" s="74">
        <f t="shared" si="176"/>
        <v>0.41666666666666669</v>
      </c>
      <c r="F186" s="75">
        <f>VLOOKUP(E186,データ!$K$20:$O$24,5,FALSE)</f>
        <v>0</v>
      </c>
      <c r="G186" s="74">
        <f>IF(AND(M186&gt;=VLOOKUP(M186,データ!$K$3:$O$6,1,TRUE),M186&lt;=VLOOKUP(M186,データ!$K$3:$O$6,2,TRUE)),VLOOKUP(M186,データ!$K$3:$O$6,4,TRUE),"")</f>
        <v>0.70833333333333337</v>
      </c>
      <c r="H186" s="256">
        <f>INDEX(データ!L$21:N$24,MATCH(配置表!E186,データ!K$21:K$24,0),MATCH(配置表!G186,データ!L$20:N$20,0))</f>
        <v>1</v>
      </c>
      <c r="I186" s="52">
        <f>IF(ISERROR(VLOOKUP(M186,データ!$A$3:$C$20,3,FALSE)),"",VLOOKUP(M186,データ!$A$3:$C$20,3,FALSE))</f>
        <v>1</v>
      </c>
      <c r="J186" s="52">
        <f t="shared" si="177"/>
        <v>1</v>
      </c>
      <c r="K186" s="53">
        <f t="shared" si="189"/>
        <v>2</v>
      </c>
      <c r="L186" s="28" t="str">
        <f t="shared" si="178"/>
        <v/>
      </c>
      <c r="M186" s="9">
        <f t="shared" si="190"/>
        <v>45915</v>
      </c>
      <c r="N186" s="10" t="str">
        <f t="shared" si="179"/>
        <v>月</v>
      </c>
      <c r="O186" s="62" t="str">
        <f>IF(AND(M186&gt;=VLOOKUP(M186,データ!$E$3:$G$9,1,TRUE),M186&lt;=VLOOKUP(M186,データ!$E$3:$G$9,2,TRUE)),VLOOKUP(M186,データ!$E$3:$G$9,3,TRUE),"")</f>
        <v>秋　特別展</v>
      </c>
      <c r="P186" s="67" t="str">
        <f>IF(AND(M186&gt;=VLOOKUP(M186,データ!$E$14:$G$21,1,TRUE),M186&lt;=VLOOKUP(M186,データ!$E$14:$G$21,2,TRUE)),VLOOKUP(M186,データ!$E$14:$G$21,3,TRUE),"")</f>
        <v>テーマ展</v>
      </c>
      <c r="Q186" s="44" t="str">
        <f t="shared" si="180"/>
        <v>○</v>
      </c>
      <c r="R186" s="45"/>
      <c r="S186" s="10" t="str">
        <f t="shared" ref="S186" si="196">IF(L186="閉","休",IF(O186="","",IF(O186="冬　特別展",IF(OR(N186="土",N186="日",I186=1),"○",""),"○")))</f>
        <v>○</v>
      </c>
      <c r="T186" s="45"/>
      <c r="U186" s="33" t="str">
        <f t="shared" ref="U186" si="197">IF(L186="閉","休",IF(S186="","●","●"))</f>
        <v>●</v>
      </c>
      <c r="V186" s="32"/>
      <c r="W186" s="33" t="str">
        <f t="shared" ref="W186" si="198">IF(L186="閉","休",IF(O186="","",IF(OR(N186="土",N186="日",I186=1),IF(OR(O186="ダミー　特別展",O186="ダミー　特別展"),"◎",IF(OR(O186="夏　特別展",O186="秋　特別展",O186="春　特別展"),"◎","")),"")))</f>
        <v>◎</v>
      </c>
      <c r="X186" s="32"/>
      <c r="Y186" s="33" t="str">
        <f t="shared" si="188"/>
        <v>○</v>
      </c>
      <c r="Z186" s="32">
        <f>IF(L186="閉","",(IF(AND(M186&gt;=VLOOKUP(M186,データ!$E$3:$G$9,1,TRUE),M186&lt;=VLOOKUP(M186,データ!$E$3:$G$9,2,TRUE)),VLOOKUP(M186,データ!$E$3:$H$9,4,TRUE),0)+IF(AND(M186&gt;=VLOOKUP(M186,データ!$E$14:$G$21,1,TRUE),M186&lt;=VLOOKUP(M186,データ!$E$14:$G$21,2,TRUE)),VLOOKUP(M186,データ!$E$14:$H$21,4,TRUE),0)))</f>
        <v>5</v>
      </c>
      <c r="AA186" s="33" t="str">
        <f t="shared" si="185"/>
        <v>○</v>
      </c>
      <c r="AB186" s="227">
        <f t="shared" si="186"/>
        <v>0.41666666666666669</v>
      </c>
      <c r="AC186" s="227">
        <f t="shared" si="187"/>
        <v>0.70833333333333337</v>
      </c>
      <c r="AD186" s="228" t="str">
        <f>IF(K186=1,IF(ISERROR(VLOOKUP(M186,データ!$A$3:$C$23,2,FALSE)),"",VLOOKUP(M186,データ!$A$3:$C$23,2,FALSE)),(IF(ISERROR(VLOOKUP(M186,データ!$A$3:$C$23,2,FALSE)),"",VLOOKUP(M186,データ!$A$3:$C$23,2,FALSE))))</f>
        <v>敬老の日</v>
      </c>
    </row>
    <row r="187" spans="1:30">
      <c r="A187" s="1">
        <f>IF(AND(M187&gt;=VLOOKUP(M187,データ!$K$3:$O$6,1,TRUE),M187&lt;=VLOOKUP(M187,データ!$K$3:$O$6,2,TRUE)),VLOOKUP(M187,データ!$K$3:$O$6,5,TRUE),"")</f>
        <v>1</v>
      </c>
      <c r="B187" s="74">
        <f>IF(AND(M187&gt;=VLOOKUP(M187,データ!$K$3:$O$6,1,TRUE),M187&lt;=VLOOKUP(M187,データ!$K$3:$O$6,2,TRUE)),VLOOKUP(M187,データ!$K$3:$O$6,3,TRUE),"")</f>
        <v>0.41666666666666669</v>
      </c>
      <c r="C187" s="1">
        <f>IF(AND(M187&gt;=VLOOKUP(M187,データ!$K$11:$O$16,1,TRUE),M187&lt;=VLOOKUP(M187,データ!$K$11:$O$16,2,TRUE)),VLOOKUP(M187,データ!$K$11:$O$16,5,TRUE),0)</f>
        <v>0</v>
      </c>
      <c r="D187" s="74" t="str">
        <f>IF(AND(M187&gt;=VLOOKUP(M187,データ!$K$11:$O$16,1,TRUE),M187&lt;=VLOOKUP(M187,データ!$K$11:$O$16,2,TRUE)),VLOOKUP(M187,データ!$K$11:$O$16,3,TRUE),"")</f>
        <v/>
      </c>
      <c r="E187" s="74">
        <f t="shared" si="176"/>
        <v>0.41666666666666669</v>
      </c>
      <c r="F187" s="75">
        <f>VLOOKUP(E187,データ!$K$20:$O$24,5,FALSE)</f>
        <v>0</v>
      </c>
      <c r="G187" s="74">
        <f>IF(AND(M187&gt;=VLOOKUP(M187,データ!$K$3:$O$6,1,TRUE),M187&lt;=VLOOKUP(M187,データ!$K$3:$O$6,2,TRUE)),VLOOKUP(M187,データ!$K$3:$O$6,4,TRUE),"")</f>
        <v>0.70833333333333337</v>
      </c>
      <c r="H187" s="256">
        <f>INDEX(データ!L$21:N$24,MATCH(配置表!E187,データ!K$21:K$24,0),MATCH(配置表!G187,データ!L$20:N$20,0))</f>
        <v>1</v>
      </c>
      <c r="I187" s="52" t="str">
        <f>IF(ISERROR(VLOOKUP(M187,データ!$A$3:$C$20,3,FALSE)),"",VLOOKUP(M187,データ!$A$3:$C$20,3,FALSE))</f>
        <v/>
      </c>
      <c r="J187" s="52" t="str">
        <f t="shared" si="177"/>
        <v/>
      </c>
      <c r="K187" s="53">
        <f t="shared" si="189"/>
        <v>1</v>
      </c>
      <c r="L187" s="28" t="str">
        <f t="shared" si="178"/>
        <v>閉</v>
      </c>
      <c r="M187" s="9">
        <f t="shared" si="190"/>
        <v>45916</v>
      </c>
      <c r="N187" s="10" t="str">
        <f t="shared" si="179"/>
        <v>火</v>
      </c>
      <c r="O187" s="62" t="str">
        <f>IF(AND(M187&gt;=VLOOKUP(M187,データ!$E$3:$G$9,1,TRUE),M187&lt;=VLOOKUP(M187,データ!$E$3:$G$9,2,TRUE)),VLOOKUP(M187,データ!$E$3:$G$9,3,TRUE),"")</f>
        <v>秋　特別展</v>
      </c>
      <c r="P187" s="67" t="str">
        <f>IF(AND(M187&gt;=VLOOKUP(M187,データ!$E$14:$G$21,1,TRUE),M187&lt;=VLOOKUP(M187,データ!$E$14:$G$21,2,TRUE)),VLOOKUP(M187,データ!$E$14:$G$21,3,TRUE),"")</f>
        <v>テーマ展</v>
      </c>
      <c r="Q187" s="44" t="str">
        <f t="shared" si="180"/>
        <v>休</v>
      </c>
      <c r="R187" s="32"/>
      <c r="S187" s="10" t="str">
        <f t="shared" si="181"/>
        <v>休</v>
      </c>
      <c r="T187" s="32"/>
      <c r="U187" s="33" t="str">
        <f t="shared" si="182"/>
        <v>休</v>
      </c>
      <c r="V187" s="32"/>
      <c r="W187" s="33" t="str">
        <f t="shared" si="183"/>
        <v>休</v>
      </c>
      <c r="X187" s="32"/>
      <c r="Y187" s="33" t="str">
        <f t="shared" si="188"/>
        <v>休</v>
      </c>
      <c r="Z187" s="32" t="str">
        <f>IF(L187="閉","",(IF(AND(M187&gt;=VLOOKUP(M187,データ!$E$3:$G$9,1,TRUE),M187&lt;=VLOOKUP(M187,データ!$E$3:$G$9,2,TRUE)),VLOOKUP(M187,データ!$E$3:$H$9,4,TRUE),0)+IF(AND(M187&gt;=VLOOKUP(M187,データ!$E$14:$G$21,1,TRUE),M187&lt;=VLOOKUP(M187,データ!$E$14:$G$21,2,TRUE)),VLOOKUP(M187,データ!$E$14:$H$21,4,TRUE),0)))</f>
        <v/>
      </c>
      <c r="AA187" s="33" t="str">
        <f t="shared" si="185"/>
        <v>休</v>
      </c>
      <c r="AB187" s="227" t="str">
        <f t="shared" si="186"/>
        <v/>
      </c>
      <c r="AC187" s="227" t="str">
        <f t="shared" si="187"/>
        <v/>
      </c>
      <c r="AD187" s="228" t="str">
        <f>IF(K187=1,IF(ISERROR(VLOOKUP(M187,データ!$A$3:$C$23,2,FALSE)),"",VLOOKUP(M187,データ!$A$3:$C$23,2,FALSE)),(IF(ISERROR(VLOOKUP(M187,データ!$A$3:$C$23,2,FALSE)),"",VLOOKUP(M187,データ!$A$3:$C$23,2,FALSE))))</f>
        <v/>
      </c>
    </row>
    <row r="188" spans="1:30">
      <c r="A188" s="1">
        <f>IF(AND(M188&gt;=VLOOKUP(M188,データ!$K$3:$O$6,1,TRUE),M188&lt;=VLOOKUP(M188,データ!$K$3:$O$6,2,TRUE)),VLOOKUP(M188,データ!$K$3:$O$6,5,TRUE),"")</f>
        <v>1</v>
      </c>
      <c r="B188" s="74">
        <f>IF(AND(M188&gt;=VLOOKUP(M188,データ!$K$3:$O$6,1,TRUE),M188&lt;=VLOOKUP(M188,データ!$K$3:$O$6,2,TRUE)),VLOOKUP(M188,データ!$K$3:$O$6,3,TRUE),"")</f>
        <v>0.41666666666666669</v>
      </c>
      <c r="C188" s="1">
        <f>IF(AND(M188&gt;=VLOOKUP(M188,データ!$K$11:$O$16,1,TRUE),M188&lt;=VLOOKUP(M188,データ!$K$11:$O$16,2,TRUE)),VLOOKUP(M188,データ!$K$11:$O$16,5,TRUE),0)</f>
        <v>0</v>
      </c>
      <c r="D188" s="74" t="str">
        <f>IF(AND(M188&gt;=VLOOKUP(M188,データ!$K$11:$O$16,1,TRUE),M188&lt;=VLOOKUP(M188,データ!$K$11:$O$16,2,TRUE)),VLOOKUP(M188,データ!$K$11:$O$16,3,TRUE),"")</f>
        <v/>
      </c>
      <c r="E188" s="74">
        <f t="shared" si="176"/>
        <v>0.41666666666666669</v>
      </c>
      <c r="F188" s="75">
        <f>VLOOKUP(E188,データ!$K$20:$O$24,5,FALSE)</f>
        <v>0</v>
      </c>
      <c r="G188" s="74">
        <f>IF(AND(M188&gt;=VLOOKUP(M188,データ!$K$3:$O$6,1,TRUE),M188&lt;=VLOOKUP(M188,データ!$K$3:$O$6,2,TRUE)),VLOOKUP(M188,データ!$K$3:$O$6,4,TRUE),"")</f>
        <v>0.70833333333333337</v>
      </c>
      <c r="H188" s="256">
        <f>INDEX(データ!L$21:N$24,MATCH(配置表!E188,データ!K$21:K$24,0),MATCH(配置表!G188,データ!L$20:N$20,0))</f>
        <v>1</v>
      </c>
      <c r="I188" s="52" t="str">
        <f>IF(ISERROR(VLOOKUP(M188,データ!$A$3:$C$20,3,FALSE)),"",VLOOKUP(M188,データ!$A$3:$C$20,3,FALSE))</f>
        <v/>
      </c>
      <c r="J188" s="52" t="str">
        <f t="shared" si="177"/>
        <v/>
      </c>
      <c r="K188" s="53">
        <f t="shared" si="189"/>
        <v>0</v>
      </c>
      <c r="L188" s="28" t="str">
        <f t="shared" si="178"/>
        <v/>
      </c>
      <c r="M188" s="9">
        <f t="shared" si="190"/>
        <v>45917</v>
      </c>
      <c r="N188" s="10" t="str">
        <f t="shared" si="179"/>
        <v>水</v>
      </c>
      <c r="O188" s="62" t="str">
        <f>IF(AND(M188&gt;=VLOOKUP(M188,データ!$E$3:$G$9,1,TRUE),M188&lt;=VLOOKUP(M188,データ!$E$3:$G$9,2,TRUE)),VLOOKUP(M188,データ!$E$3:$G$9,3,TRUE),"")</f>
        <v>秋　特別展</v>
      </c>
      <c r="P188" s="67" t="str">
        <f>IF(AND(M188&gt;=VLOOKUP(M188,データ!$E$14:$G$21,1,TRUE),M188&lt;=VLOOKUP(M188,データ!$E$14:$G$21,2,TRUE)),VLOOKUP(M188,データ!$E$14:$G$21,3,TRUE),"")</f>
        <v>テーマ展</v>
      </c>
      <c r="Q188" s="44" t="str">
        <f t="shared" si="180"/>
        <v>○</v>
      </c>
      <c r="R188" s="45"/>
      <c r="S188" s="33" t="str">
        <f t="shared" ref="S188:S190" si="199">IF(H188="閉","休",IF(K188="","",IF(OR(J188="土",J188="日",E188=1),IF(OR(K188="ダミー　特別展",K188="ダミー　特別展"),"◎",IF(OR(K188="夏　特別展",K188="秋　特別展",K188="春　特別展"),"○","")),"")))</f>
        <v/>
      </c>
      <c r="T188" s="45"/>
      <c r="U188" s="33" t="str">
        <f t="shared" ref="U188:U192" si="200">IF(L188="閉","休",IF(S188="","●","●"))</f>
        <v>●</v>
      </c>
      <c r="V188" s="32"/>
      <c r="W188" s="33" t="str">
        <f t="shared" ref="W188:W190" si="201">IF(P188="閉","休",IF(O188="","",IF(O188="冬　特別展",IF(OR(N188="土",N188="日",M188=1),"○",""),"○")))</f>
        <v>○</v>
      </c>
      <c r="X188" s="32"/>
      <c r="Y188" s="33" t="str">
        <f t="shared" si="188"/>
        <v>○</v>
      </c>
      <c r="Z188" s="32">
        <f>IF(L188="閉","",(IF(AND(M188&gt;=VLOOKUP(M188,データ!$E$3:$G$9,1,TRUE),M188&lt;=VLOOKUP(M188,データ!$E$3:$G$9,2,TRUE)),VLOOKUP(M188,データ!$E$3:$H$9,4,TRUE),0)+IF(AND(M188&gt;=VLOOKUP(M188,データ!$E$14:$G$21,1,TRUE),M188&lt;=VLOOKUP(M188,データ!$E$14:$G$21,2,TRUE)),VLOOKUP(M188,データ!$E$14:$H$21,4,TRUE),0)))</f>
        <v>5</v>
      </c>
      <c r="AA188" s="33" t="str">
        <f t="shared" si="185"/>
        <v>○</v>
      </c>
      <c r="AB188" s="227">
        <f t="shared" si="186"/>
        <v>0.41666666666666669</v>
      </c>
      <c r="AC188" s="227">
        <f t="shared" si="187"/>
        <v>0.70833333333333337</v>
      </c>
      <c r="AD188" s="228" t="str">
        <f>IF(K188=1,IF(ISERROR(VLOOKUP(M188,データ!$A$3:$C$23,2,FALSE)),"",VLOOKUP(M188,データ!$A$3:$C$23,2,FALSE)),(IF(ISERROR(VLOOKUP(M188,データ!$A$3:$C$23,2,FALSE)),"",VLOOKUP(M188,データ!$A$3:$C$23,2,FALSE))))</f>
        <v/>
      </c>
    </row>
    <row r="189" spans="1:30">
      <c r="A189" s="1">
        <f>IF(AND(M189&gt;=VLOOKUP(M189,データ!$K$3:$O$6,1,TRUE),M189&lt;=VLOOKUP(M189,データ!$K$3:$O$6,2,TRUE)),VLOOKUP(M189,データ!$K$3:$O$6,5,TRUE),"")</f>
        <v>1</v>
      </c>
      <c r="B189" s="74">
        <f>IF(AND(M189&gt;=VLOOKUP(M189,データ!$K$3:$O$6,1,TRUE),M189&lt;=VLOOKUP(M189,データ!$K$3:$O$6,2,TRUE)),VLOOKUP(M189,データ!$K$3:$O$6,3,TRUE),"")</f>
        <v>0.41666666666666669</v>
      </c>
      <c r="C189" s="1">
        <f>IF(AND(M189&gt;=VLOOKUP(M189,データ!$K$11:$O$16,1,TRUE),M189&lt;=VLOOKUP(M189,データ!$K$11:$O$16,2,TRUE)),VLOOKUP(M189,データ!$K$11:$O$16,5,TRUE),0)</f>
        <v>0</v>
      </c>
      <c r="D189" s="74" t="str">
        <f>IF(AND(M189&gt;=VLOOKUP(M189,データ!$K$11:$O$16,1,TRUE),M189&lt;=VLOOKUP(M189,データ!$K$11:$O$16,2,TRUE)),VLOOKUP(M189,データ!$K$11:$O$16,3,TRUE),"")</f>
        <v/>
      </c>
      <c r="E189" s="74">
        <f t="shared" si="176"/>
        <v>0.41666666666666669</v>
      </c>
      <c r="F189" s="75">
        <f>VLOOKUP(E189,データ!$K$20:$O$24,5,FALSE)</f>
        <v>0</v>
      </c>
      <c r="G189" s="74">
        <f>IF(AND(M189&gt;=VLOOKUP(M189,データ!$K$3:$O$6,1,TRUE),M189&lt;=VLOOKUP(M189,データ!$K$3:$O$6,2,TRUE)),VLOOKUP(M189,データ!$K$3:$O$6,4,TRUE),"")</f>
        <v>0.70833333333333337</v>
      </c>
      <c r="H189" s="256">
        <f>INDEX(データ!L$21:N$24,MATCH(配置表!E189,データ!K$21:K$24,0),MATCH(配置表!G189,データ!L$20:N$20,0))</f>
        <v>1</v>
      </c>
      <c r="I189" s="52" t="str">
        <f>IF(ISERROR(VLOOKUP(M189,データ!$A$3:$C$20,3,FALSE)),"",VLOOKUP(M189,データ!$A$3:$C$20,3,FALSE))</f>
        <v/>
      </c>
      <c r="J189" s="52" t="str">
        <f t="shared" si="177"/>
        <v/>
      </c>
      <c r="K189" s="53">
        <f t="shared" si="189"/>
        <v>0</v>
      </c>
      <c r="L189" s="28" t="str">
        <f t="shared" si="178"/>
        <v/>
      </c>
      <c r="M189" s="9">
        <f t="shared" si="190"/>
        <v>45918</v>
      </c>
      <c r="N189" s="10" t="str">
        <f t="shared" si="179"/>
        <v>木</v>
      </c>
      <c r="O189" s="62" t="str">
        <f>IF(AND(M189&gt;=VLOOKUP(M189,データ!$E$3:$G$9,1,TRUE),M189&lt;=VLOOKUP(M189,データ!$E$3:$G$9,2,TRUE)),VLOOKUP(M189,データ!$E$3:$G$9,3,TRUE),"")</f>
        <v>秋　特別展</v>
      </c>
      <c r="P189" s="67" t="str">
        <f>IF(AND(M189&gt;=VLOOKUP(M189,データ!$E$14:$G$21,1,TRUE),M189&lt;=VLOOKUP(M189,データ!$E$14:$G$21,2,TRUE)),VLOOKUP(M189,データ!$E$14:$G$21,3,TRUE),"")</f>
        <v>テーマ展</v>
      </c>
      <c r="Q189" s="44" t="str">
        <f t="shared" si="180"/>
        <v>○</v>
      </c>
      <c r="R189" s="45"/>
      <c r="S189" s="33" t="str">
        <f t="shared" si="199"/>
        <v/>
      </c>
      <c r="T189" s="45"/>
      <c r="U189" s="33" t="str">
        <f t="shared" si="200"/>
        <v>●</v>
      </c>
      <c r="V189" s="32"/>
      <c r="W189" s="33" t="str">
        <f t="shared" si="201"/>
        <v>○</v>
      </c>
      <c r="X189" s="32"/>
      <c r="Y189" s="33" t="str">
        <f t="shared" si="188"/>
        <v>○</v>
      </c>
      <c r="Z189" s="32">
        <f>IF(L189="閉","",(IF(AND(M189&gt;=VLOOKUP(M189,データ!$E$3:$G$9,1,TRUE),M189&lt;=VLOOKUP(M189,データ!$E$3:$G$9,2,TRUE)),VLOOKUP(M189,データ!$E$3:$H$9,4,TRUE),0)+IF(AND(M189&gt;=VLOOKUP(M189,データ!$E$14:$G$21,1,TRUE),M189&lt;=VLOOKUP(M189,データ!$E$14:$G$21,2,TRUE)),VLOOKUP(M189,データ!$E$14:$H$21,4,TRUE),0)))</f>
        <v>5</v>
      </c>
      <c r="AA189" s="33" t="str">
        <f t="shared" si="185"/>
        <v>○</v>
      </c>
      <c r="AB189" s="227">
        <f t="shared" si="186"/>
        <v>0.41666666666666669</v>
      </c>
      <c r="AC189" s="227">
        <f t="shared" si="187"/>
        <v>0.70833333333333337</v>
      </c>
      <c r="AD189" s="228" t="str">
        <f>IF(K189=1,IF(ISERROR(VLOOKUP(M189,データ!$A$3:$C$23,2,FALSE)),"",VLOOKUP(M189,データ!$A$3:$C$23,2,FALSE)),(IF(ISERROR(VLOOKUP(M189,データ!$A$3:$C$23,2,FALSE)),"",VLOOKUP(M189,データ!$A$3:$C$23,2,FALSE))))</f>
        <v/>
      </c>
    </row>
    <row r="190" spans="1:30">
      <c r="A190" s="1">
        <f>IF(AND(M190&gt;=VLOOKUP(M190,データ!$K$3:$O$6,1,TRUE),M190&lt;=VLOOKUP(M190,データ!$K$3:$O$6,2,TRUE)),VLOOKUP(M190,データ!$K$3:$O$6,5,TRUE),"")</f>
        <v>1</v>
      </c>
      <c r="B190" s="74">
        <f>IF(AND(M190&gt;=VLOOKUP(M190,データ!$K$3:$O$6,1,TRUE),M190&lt;=VLOOKUP(M190,データ!$K$3:$O$6,2,TRUE)),VLOOKUP(M190,データ!$K$3:$O$6,3,TRUE),"")</f>
        <v>0.41666666666666669</v>
      </c>
      <c r="C190" s="1">
        <f>IF(AND(M190&gt;=VLOOKUP(M190,データ!$K$11:$O$16,1,TRUE),M190&lt;=VLOOKUP(M190,データ!$K$11:$O$16,2,TRUE)),VLOOKUP(M190,データ!$K$11:$O$16,5,TRUE),0)</f>
        <v>0</v>
      </c>
      <c r="D190" s="74" t="str">
        <f>IF(AND(M190&gt;=VLOOKUP(M190,データ!$K$11:$O$16,1,TRUE),M190&lt;=VLOOKUP(M190,データ!$K$11:$O$16,2,TRUE)),VLOOKUP(M190,データ!$K$11:$O$16,3,TRUE),"")</f>
        <v/>
      </c>
      <c r="E190" s="74">
        <f t="shared" si="176"/>
        <v>0.41666666666666669</v>
      </c>
      <c r="F190" s="75">
        <f>VLOOKUP(E190,データ!$K$20:$O$24,5,FALSE)</f>
        <v>0</v>
      </c>
      <c r="G190" s="74">
        <f>IF(AND(M190&gt;=VLOOKUP(M190,データ!$K$3:$O$6,1,TRUE),M190&lt;=VLOOKUP(M190,データ!$K$3:$O$6,2,TRUE)),VLOOKUP(M190,データ!$K$3:$O$6,4,TRUE),"")</f>
        <v>0.70833333333333337</v>
      </c>
      <c r="H190" s="256">
        <f>INDEX(データ!L$21:N$24,MATCH(配置表!E190,データ!K$21:K$24,0),MATCH(配置表!G190,データ!L$20:N$20,0))</f>
        <v>1</v>
      </c>
      <c r="I190" s="52" t="str">
        <f>IF(ISERROR(VLOOKUP(M190,データ!$A$3:$C$20,3,FALSE)),"",VLOOKUP(M190,データ!$A$3:$C$20,3,FALSE))</f>
        <v/>
      </c>
      <c r="J190" s="52" t="str">
        <f t="shared" si="177"/>
        <v/>
      </c>
      <c r="K190" s="53">
        <f t="shared" si="189"/>
        <v>0</v>
      </c>
      <c r="L190" s="28" t="str">
        <f t="shared" si="178"/>
        <v/>
      </c>
      <c r="M190" s="9">
        <f t="shared" si="190"/>
        <v>45919</v>
      </c>
      <c r="N190" s="10" t="str">
        <f t="shared" si="179"/>
        <v>金</v>
      </c>
      <c r="O190" s="62" t="str">
        <f>IF(AND(M190&gt;=VLOOKUP(M190,データ!$E$3:$G$9,1,TRUE),M190&lt;=VLOOKUP(M190,データ!$E$3:$G$9,2,TRUE)),VLOOKUP(M190,データ!$E$3:$G$9,3,TRUE),"")</f>
        <v>秋　特別展</v>
      </c>
      <c r="P190" s="67" t="str">
        <f>IF(AND(M190&gt;=VLOOKUP(M190,データ!$E$14:$G$21,1,TRUE),M190&lt;=VLOOKUP(M190,データ!$E$14:$G$21,2,TRUE)),VLOOKUP(M190,データ!$E$14:$G$21,3,TRUE),"")</f>
        <v>テーマ展</v>
      </c>
      <c r="Q190" s="44" t="str">
        <f t="shared" si="180"/>
        <v>○</v>
      </c>
      <c r="R190" s="45"/>
      <c r="S190" s="33" t="str">
        <f t="shared" si="199"/>
        <v/>
      </c>
      <c r="T190" s="45"/>
      <c r="U190" s="33" t="str">
        <f t="shared" si="200"/>
        <v>●</v>
      </c>
      <c r="V190" s="32"/>
      <c r="W190" s="33" t="str">
        <f t="shared" si="201"/>
        <v>○</v>
      </c>
      <c r="X190" s="32"/>
      <c r="Y190" s="33" t="str">
        <f t="shared" si="188"/>
        <v>○</v>
      </c>
      <c r="Z190" s="32">
        <f>IF(L190="閉","",(IF(AND(M190&gt;=VLOOKUP(M190,データ!$E$3:$G$9,1,TRUE),M190&lt;=VLOOKUP(M190,データ!$E$3:$G$9,2,TRUE)),VLOOKUP(M190,データ!$E$3:$H$9,4,TRUE),0)+IF(AND(M190&gt;=VLOOKUP(M190,データ!$E$14:$G$21,1,TRUE),M190&lt;=VLOOKUP(M190,データ!$E$14:$G$21,2,TRUE)),VLOOKUP(M190,データ!$E$14:$H$21,4,TRUE),0)))</f>
        <v>5</v>
      </c>
      <c r="AA190" s="33" t="str">
        <f t="shared" si="185"/>
        <v>○</v>
      </c>
      <c r="AB190" s="227">
        <f t="shared" si="186"/>
        <v>0.41666666666666669</v>
      </c>
      <c r="AC190" s="227">
        <f t="shared" si="187"/>
        <v>0.70833333333333337</v>
      </c>
      <c r="AD190" s="228" t="str">
        <f>IF(K190=1,IF(ISERROR(VLOOKUP(M190,データ!$A$3:$C$23,2,FALSE)),"",VLOOKUP(M190,データ!$A$3:$C$23,2,FALSE)),(IF(ISERROR(VLOOKUP(M190,データ!$A$3:$C$23,2,FALSE)),"",VLOOKUP(M190,データ!$A$3:$C$23,2,FALSE))))</f>
        <v/>
      </c>
    </row>
    <row r="191" spans="1:30">
      <c r="A191" s="1">
        <f>IF(AND(M191&gt;=VLOOKUP(M191,データ!$K$3:$O$6,1,TRUE),M191&lt;=VLOOKUP(M191,データ!$K$3:$O$6,2,TRUE)),VLOOKUP(M191,データ!$K$3:$O$6,5,TRUE),"")</f>
        <v>1</v>
      </c>
      <c r="B191" s="74">
        <f>IF(AND(M191&gt;=VLOOKUP(M191,データ!$K$3:$O$6,1,TRUE),M191&lt;=VLOOKUP(M191,データ!$K$3:$O$6,2,TRUE)),VLOOKUP(M191,データ!$K$3:$O$6,3,TRUE),"")</f>
        <v>0.41666666666666669</v>
      </c>
      <c r="C191" s="1">
        <f>IF(AND(M191&gt;=VLOOKUP(M191,データ!$K$11:$O$16,1,TRUE),M191&lt;=VLOOKUP(M191,データ!$K$11:$O$16,2,TRUE)),VLOOKUP(M191,データ!$K$11:$O$16,5,TRUE),0)</f>
        <v>0</v>
      </c>
      <c r="D191" s="74" t="str">
        <f>IF(AND(M191&gt;=VLOOKUP(M191,データ!$K$11:$O$16,1,TRUE),M191&lt;=VLOOKUP(M191,データ!$K$11:$O$16,2,TRUE)),VLOOKUP(M191,データ!$K$11:$O$16,3,TRUE),"")</f>
        <v/>
      </c>
      <c r="E191" s="74">
        <f t="shared" si="176"/>
        <v>0.41666666666666669</v>
      </c>
      <c r="F191" s="75">
        <f>VLOOKUP(E191,データ!$K$20:$O$24,5,FALSE)</f>
        <v>0</v>
      </c>
      <c r="G191" s="74">
        <f>IF(AND(M191&gt;=VLOOKUP(M191,データ!$K$3:$O$6,1,TRUE),M191&lt;=VLOOKUP(M191,データ!$K$3:$O$6,2,TRUE)),VLOOKUP(M191,データ!$K$3:$O$6,4,TRUE),"")</f>
        <v>0.70833333333333337</v>
      </c>
      <c r="H191" s="256">
        <f>INDEX(データ!L$21:N$24,MATCH(配置表!E191,データ!K$21:K$24,0),MATCH(配置表!G191,データ!L$20:N$20,0))</f>
        <v>1</v>
      </c>
      <c r="I191" s="52" t="str">
        <f>IF(ISERROR(VLOOKUP(M191,データ!$A$3:$C$20,3,FALSE)),"",VLOOKUP(M191,データ!$A$3:$C$20,3,FALSE))</f>
        <v/>
      </c>
      <c r="J191" s="52" t="str">
        <f t="shared" si="177"/>
        <v/>
      </c>
      <c r="K191" s="53">
        <f t="shared" si="189"/>
        <v>0</v>
      </c>
      <c r="L191" s="28" t="str">
        <f t="shared" si="178"/>
        <v/>
      </c>
      <c r="M191" s="9">
        <f t="shared" si="190"/>
        <v>45920</v>
      </c>
      <c r="N191" s="10" t="str">
        <f t="shared" si="179"/>
        <v>土</v>
      </c>
      <c r="O191" s="62" t="str">
        <f>IF(AND(M191&gt;=VLOOKUP(M191,データ!$E$3:$G$9,1,TRUE),M191&lt;=VLOOKUP(M191,データ!$E$3:$G$9,2,TRUE)),VLOOKUP(M191,データ!$E$3:$G$9,3,TRUE),"")</f>
        <v>秋　特別展</v>
      </c>
      <c r="P191" s="67" t="str">
        <f>IF(AND(M191&gt;=VLOOKUP(M191,データ!$E$14:$G$21,1,TRUE),M191&lt;=VLOOKUP(M191,データ!$E$14:$G$21,2,TRUE)),VLOOKUP(M191,データ!$E$14:$G$21,3,TRUE),"")</f>
        <v>テーマ展</v>
      </c>
      <c r="Q191" s="44" t="str">
        <f t="shared" si="180"/>
        <v>○</v>
      </c>
      <c r="R191" s="45"/>
      <c r="S191" s="10" t="str">
        <f t="shared" ref="S191:S192" si="202">IF(L191="閉","休",IF(O191="","",IF(O191="冬　特別展",IF(OR(N191="土",N191="日",I191=1),"○",""),"○")))</f>
        <v>○</v>
      </c>
      <c r="T191" s="45"/>
      <c r="U191" s="33" t="str">
        <f t="shared" si="200"/>
        <v>●</v>
      </c>
      <c r="V191" s="32"/>
      <c r="W191" s="33" t="str">
        <f t="shared" ref="W191:W192" si="203">IF(L191="閉","休",IF(O191="","",IF(OR(N191="土",N191="日",I191=1),IF(OR(O191="ダミー　特別展",O191="ダミー　特別展"),"◎",IF(OR(O191="夏　特別展",O191="秋　特別展",O191="春　特別展"),"◎","")),"")))</f>
        <v>◎</v>
      </c>
      <c r="X191" s="32"/>
      <c r="Y191" s="33" t="str">
        <f t="shared" si="188"/>
        <v>○</v>
      </c>
      <c r="Z191" s="32">
        <f>IF(L191="閉","",(IF(AND(M191&gt;=VLOOKUP(M191,データ!$E$3:$G$9,1,TRUE),M191&lt;=VLOOKUP(M191,データ!$E$3:$G$9,2,TRUE)),VLOOKUP(M191,データ!$E$3:$H$9,4,TRUE),0)+IF(AND(M191&gt;=VLOOKUP(M191,データ!$E$14:$G$21,1,TRUE),M191&lt;=VLOOKUP(M191,データ!$E$14:$G$21,2,TRUE)),VLOOKUP(M191,データ!$E$14:$H$21,4,TRUE),0)))</f>
        <v>5</v>
      </c>
      <c r="AA191" s="33" t="str">
        <f t="shared" si="185"/>
        <v>○</v>
      </c>
      <c r="AB191" s="227">
        <f t="shared" si="186"/>
        <v>0.41666666666666669</v>
      </c>
      <c r="AC191" s="227">
        <f t="shared" si="187"/>
        <v>0.70833333333333337</v>
      </c>
      <c r="AD191" s="228" t="str">
        <f>IF(K191=1,IF(ISERROR(VLOOKUP(M191,データ!$A$3:$C$23,2,FALSE)),"",VLOOKUP(M191,データ!$A$3:$C$23,2,FALSE)),(IF(ISERROR(VLOOKUP(M191,データ!$A$3:$C$23,2,FALSE)),"",VLOOKUP(M191,データ!$A$3:$C$23,2,FALSE))))</f>
        <v/>
      </c>
    </row>
    <row r="192" spans="1:30">
      <c r="A192" s="1">
        <f>IF(AND(M192&gt;=VLOOKUP(M192,データ!$K$3:$O$6,1,TRUE),M192&lt;=VLOOKUP(M192,データ!$K$3:$O$6,2,TRUE)),VLOOKUP(M192,データ!$K$3:$O$6,5,TRUE),"")</f>
        <v>1</v>
      </c>
      <c r="B192" s="74">
        <f>IF(AND(M192&gt;=VLOOKUP(M192,データ!$K$3:$O$6,1,TRUE),M192&lt;=VLOOKUP(M192,データ!$K$3:$O$6,2,TRUE)),VLOOKUP(M192,データ!$K$3:$O$6,3,TRUE),"")</f>
        <v>0.41666666666666669</v>
      </c>
      <c r="C192" s="1">
        <f>IF(AND(M192&gt;=VLOOKUP(M192,データ!$K$11:$O$16,1,TRUE),M192&lt;=VLOOKUP(M192,データ!$K$11:$O$16,2,TRUE)),VLOOKUP(M192,データ!$K$11:$O$16,5,TRUE),0)</f>
        <v>0</v>
      </c>
      <c r="D192" s="74" t="str">
        <f>IF(AND(M192&gt;=VLOOKUP(M192,データ!$K$11:$O$16,1,TRUE),M192&lt;=VLOOKUP(M192,データ!$K$11:$O$16,2,TRUE)),VLOOKUP(M192,データ!$K$11:$O$16,3,TRUE),"")</f>
        <v/>
      </c>
      <c r="E192" s="74">
        <f t="shared" si="176"/>
        <v>0.41666666666666669</v>
      </c>
      <c r="F192" s="75">
        <f>VLOOKUP(E192,データ!$K$20:$O$24,5,FALSE)</f>
        <v>0</v>
      </c>
      <c r="G192" s="74">
        <f>IF(AND(M192&gt;=VLOOKUP(M192,データ!$K$3:$O$6,1,TRUE),M192&lt;=VLOOKUP(M192,データ!$K$3:$O$6,2,TRUE)),VLOOKUP(M192,データ!$K$3:$O$6,4,TRUE),"")</f>
        <v>0.70833333333333337</v>
      </c>
      <c r="H192" s="256">
        <f>INDEX(データ!L$21:N$24,MATCH(配置表!E192,データ!K$21:K$24,0),MATCH(配置表!G192,データ!L$20:N$20,0))</f>
        <v>1</v>
      </c>
      <c r="I192" s="52" t="str">
        <f>IF(ISERROR(VLOOKUP(M192,データ!$A$3:$C$20,3,FALSE)),"",VLOOKUP(M192,データ!$A$3:$C$20,3,FALSE))</f>
        <v/>
      </c>
      <c r="J192" s="52" t="str">
        <f t="shared" si="177"/>
        <v/>
      </c>
      <c r="K192" s="53">
        <f t="shared" si="189"/>
        <v>0</v>
      </c>
      <c r="L192" s="28" t="str">
        <f t="shared" si="178"/>
        <v/>
      </c>
      <c r="M192" s="9">
        <f t="shared" si="190"/>
        <v>45921</v>
      </c>
      <c r="N192" s="10" t="str">
        <f t="shared" si="179"/>
        <v>日</v>
      </c>
      <c r="O192" s="62" t="str">
        <f>IF(AND(M192&gt;=VLOOKUP(M192,データ!$E$3:$G$9,1,TRUE),M192&lt;=VLOOKUP(M192,データ!$E$3:$G$9,2,TRUE)),VLOOKUP(M192,データ!$E$3:$G$9,3,TRUE),"")</f>
        <v>秋　特別展</v>
      </c>
      <c r="P192" s="67" t="str">
        <f>IF(AND(M192&gt;=VLOOKUP(M192,データ!$E$14:$G$21,1,TRUE),M192&lt;=VLOOKUP(M192,データ!$E$14:$G$21,2,TRUE)),VLOOKUP(M192,データ!$E$14:$G$21,3,TRUE),"")</f>
        <v>テーマ展</v>
      </c>
      <c r="Q192" s="44" t="str">
        <f t="shared" si="180"/>
        <v>○</v>
      </c>
      <c r="R192" s="45"/>
      <c r="S192" s="10" t="str">
        <f t="shared" si="202"/>
        <v>○</v>
      </c>
      <c r="T192" s="45"/>
      <c r="U192" s="33" t="str">
        <f t="shared" si="200"/>
        <v>●</v>
      </c>
      <c r="V192" s="32"/>
      <c r="W192" s="33" t="str">
        <f t="shared" si="203"/>
        <v>◎</v>
      </c>
      <c r="X192" s="32"/>
      <c r="Y192" s="33" t="str">
        <f t="shared" si="188"/>
        <v>○</v>
      </c>
      <c r="Z192" s="32">
        <f>IF(L192="閉","",(IF(AND(M192&gt;=VLOOKUP(M192,データ!$E$3:$G$9,1,TRUE),M192&lt;=VLOOKUP(M192,データ!$E$3:$G$9,2,TRUE)),VLOOKUP(M192,データ!$E$3:$H$9,4,TRUE),0)+IF(AND(M192&gt;=VLOOKUP(M192,データ!$E$14:$G$21,1,TRUE),M192&lt;=VLOOKUP(M192,データ!$E$14:$G$21,2,TRUE)),VLOOKUP(M192,データ!$E$14:$H$21,4,TRUE),0)))</f>
        <v>5</v>
      </c>
      <c r="AA192" s="33" t="str">
        <f t="shared" si="185"/>
        <v>○</v>
      </c>
      <c r="AB192" s="227">
        <f t="shared" si="186"/>
        <v>0.41666666666666669</v>
      </c>
      <c r="AC192" s="227">
        <f t="shared" si="187"/>
        <v>0.70833333333333337</v>
      </c>
      <c r="AD192" s="228" t="str">
        <f>IF(K192=1,IF(ISERROR(VLOOKUP(M192,データ!$A$3:$C$23,2,FALSE)),"",VLOOKUP(M192,データ!$A$3:$C$23,2,FALSE)),(IF(ISERROR(VLOOKUP(M192,データ!$A$3:$C$23,2,FALSE)),"",VLOOKUP(M192,データ!$A$3:$C$23,2,FALSE))))</f>
        <v/>
      </c>
    </row>
    <row r="193" spans="1:30">
      <c r="A193" s="1">
        <f>IF(AND(M193&gt;=VLOOKUP(M193,データ!$K$3:$O$6,1,TRUE),M193&lt;=VLOOKUP(M193,データ!$K$3:$O$6,2,TRUE)),VLOOKUP(M193,データ!$K$3:$O$6,5,TRUE),"")</f>
        <v>1</v>
      </c>
      <c r="B193" s="74">
        <f>IF(AND(M193&gt;=VLOOKUP(M193,データ!$K$3:$O$6,1,TRUE),M193&lt;=VLOOKUP(M193,データ!$K$3:$O$6,2,TRUE)),VLOOKUP(M193,データ!$K$3:$O$6,3,TRUE),"")</f>
        <v>0.41666666666666669</v>
      </c>
      <c r="C193" s="1">
        <f>IF(AND(M193&gt;=VLOOKUP(M193,データ!$K$11:$O$16,1,TRUE),M193&lt;=VLOOKUP(M193,データ!$K$11:$O$16,2,TRUE)),VLOOKUP(M193,データ!$K$11:$O$16,5,TRUE),0)</f>
        <v>0</v>
      </c>
      <c r="D193" s="74" t="str">
        <f>IF(AND(M193&gt;=VLOOKUP(M193,データ!$K$11:$O$16,1,TRUE),M193&lt;=VLOOKUP(M193,データ!$K$11:$O$16,2,TRUE)),VLOOKUP(M193,データ!$K$11:$O$16,3,TRUE),"")</f>
        <v/>
      </c>
      <c r="E193" s="74">
        <f t="shared" si="176"/>
        <v>0.41666666666666669</v>
      </c>
      <c r="F193" s="75">
        <f>VLOOKUP(E193,データ!$K$20:$O$24,5,FALSE)</f>
        <v>0</v>
      </c>
      <c r="G193" s="74">
        <f>IF(AND(M193&gt;=VLOOKUP(M193,データ!$K$3:$O$6,1,TRUE),M193&lt;=VLOOKUP(M193,データ!$K$3:$O$6,2,TRUE)),VLOOKUP(M193,データ!$K$3:$O$6,4,TRUE),"")</f>
        <v>0.70833333333333337</v>
      </c>
      <c r="H193" s="256">
        <f>INDEX(データ!L$21:N$24,MATCH(配置表!E193,データ!K$21:K$24,0),MATCH(配置表!G193,データ!L$20:N$20,0))</f>
        <v>1</v>
      </c>
      <c r="I193" s="52" t="str">
        <f>IF(ISERROR(VLOOKUP(M193,データ!$A$3:$C$20,3,FALSE)),"",VLOOKUP(M193,データ!$A$3:$C$20,3,FALSE))</f>
        <v/>
      </c>
      <c r="J193" s="52">
        <f t="shared" si="177"/>
        <v>1</v>
      </c>
      <c r="K193" s="53">
        <f t="shared" si="189"/>
        <v>1</v>
      </c>
      <c r="L193" s="28" t="str">
        <f t="shared" si="178"/>
        <v>閉</v>
      </c>
      <c r="M193" s="9">
        <f t="shared" si="190"/>
        <v>45922</v>
      </c>
      <c r="N193" s="10" t="str">
        <f t="shared" si="179"/>
        <v>月</v>
      </c>
      <c r="O193" s="62" t="str">
        <f>IF(AND(M193&gt;=VLOOKUP(M193,データ!$E$3:$G$9,1,TRUE),M193&lt;=VLOOKUP(M193,データ!$E$3:$G$9,2,TRUE)),VLOOKUP(M193,データ!$E$3:$G$9,3,TRUE),"")</f>
        <v>秋　特別展</v>
      </c>
      <c r="P193" s="67" t="str">
        <f>IF(AND(M193&gt;=VLOOKUP(M193,データ!$E$14:$G$21,1,TRUE),M193&lt;=VLOOKUP(M193,データ!$E$14:$G$21,2,TRUE)),VLOOKUP(M193,データ!$E$14:$G$21,3,TRUE),"")</f>
        <v>テーマ展</v>
      </c>
      <c r="Q193" s="44" t="str">
        <f t="shared" si="180"/>
        <v>休</v>
      </c>
      <c r="R193" s="32"/>
      <c r="S193" s="10" t="str">
        <f t="shared" si="181"/>
        <v>休</v>
      </c>
      <c r="T193" s="32"/>
      <c r="U193" s="33" t="str">
        <f t="shared" si="182"/>
        <v>休</v>
      </c>
      <c r="V193" s="32"/>
      <c r="W193" s="33" t="str">
        <f t="shared" si="183"/>
        <v>休</v>
      </c>
      <c r="X193" s="32"/>
      <c r="Y193" s="33" t="str">
        <f t="shared" si="188"/>
        <v>休</v>
      </c>
      <c r="Z193" s="32" t="str">
        <f>IF(L193="閉","",(IF(AND(M193&gt;=VLOOKUP(M193,データ!$E$3:$G$9,1,TRUE),M193&lt;=VLOOKUP(M193,データ!$E$3:$G$9,2,TRUE)),VLOOKUP(M193,データ!$E$3:$H$9,4,TRUE),0)+IF(AND(M193&gt;=VLOOKUP(M193,データ!$E$14:$G$21,1,TRUE),M193&lt;=VLOOKUP(M193,データ!$E$14:$G$21,2,TRUE)),VLOOKUP(M193,データ!$E$14:$H$21,4,TRUE),0)))</f>
        <v/>
      </c>
      <c r="AA193" s="33" t="str">
        <f t="shared" si="185"/>
        <v>休</v>
      </c>
      <c r="AB193" s="227" t="str">
        <f t="shared" si="186"/>
        <v/>
      </c>
      <c r="AC193" s="227" t="str">
        <f t="shared" si="187"/>
        <v/>
      </c>
      <c r="AD193" s="228" t="str">
        <f>IF(K193=1,IF(ISERROR(VLOOKUP(M193,データ!$A$3:$C$23,2,FALSE)),"",VLOOKUP(M193,データ!$A$3:$C$23,2,FALSE)),(IF(ISERROR(VLOOKUP(M193,データ!$A$3:$C$23,2,FALSE)),"",VLOOKUP(M193,データ!$A$3:$C$23,2,FALSE))))</f>
        <v/>
      </c>
    </row>
    <row r="194" spans="1:30">
      <c r="A194" s="1">
        <f>IF(AND(M194&gt;=VLOOKUP(M194,データ!$K$3:$O$6,1,TRUE),M194&lt;=VLOOKUP(M194,データ!$K$3:$O$6,2,TRUE)),VLOOKUP(M194,データ!$K$3:$O$6,5,TRUE),"")</f>
        <v>1</v>
      </c>
      <c r="B194" s="74">
        <f>IF(AND(M194&gt;=VLOOKUP(M194,データ!$K$3:$O$6,1,TRUE),M194&lt;=VLOOKUP(M194,データ!$K$3:$O$6,2,TRUE)),VLOOKUP(M194,データ!$K$3:$O$6,3,TRUE),"")</f>
        <v>0.41666666666666669</v>
      </c>
      <c r="C194" s="1">
        <f>IF(AND(M194&gt;=VLOOKUP(M194,データ!$K$11:$O$16,1,TRUE),M194&lt;=VLOOKUP(M194,データ!$K$11:$O$16,2,TRUE)),VLOOKUP(M194,データ!$K$11:$O$16,5,TRUE),0)</f>
        <v>0</v>
      </c>
      <c r="D194" s="74" t="str">
        <f>IF(AND(M194&gt;=VLOOKUP(M194,データ!$K$11:$O$16,1,TRUE),M194&lt;=VLOOKUP(M194,データ!$K$11:$O$16,2,TRUE)),VLOOKUP(M194,データ!$K$11:$O$16,3,TRUE),"")</f>
        <v/>
      </c>
      <c r="E194" s="74">
        <f t="shared" si="176"/>
        <v>0.41666666666666669</v>
      </c>
      <c r="F194" s="75">
        <f>VLOOKUP(E194,データ!$K$20:$O$24,5,FALSE)</f>
        <v>0</v>
      </c>
      <c r="G194" s="74">
        <f>IF(AND(M194&gt;=VLOOKUP(M194,データ!$K$3:$O$6,1,TRUE),M194&lt;=VLOOKUP(M194,データ!$K$3:$O$6,2,TRUE)),VLOOKUP(M194,データ!$K$3:$O$6,4,TRUE),"")</f>
        <v>0.70833333333333337</v>
      </c>
      <c r="H194" s="256">
        <f>INDEX(データ!L$21:N$24,MATCH(配置表!E194,データ!K$21:K$24,0),MATCH(配置表!G194,データ!L$20:N$20,0))</f>
        <v>1</v>
      </c>
      <c r="I194" s="52">
        <f>IF(ISERROR(VLOOKUP(M194,データ!$A$3:$C$20,3,FALSE)),"",VLOOKUP(M194,データ!$A$3:$C$20,3,FALSE))</f>
        <v>1</v>
      </c>
      <c r="J194" s="52" t="str">
        <f t="shared" si="177"/>
        <v/>
      </c>
      <c r="K194" s="53">
        <f t="shared" si="189"/>
        <v>0</v>
      </c>
      <c r="L194" s="28" t="str">
        <f t="shared" si="178"/>
        <v/>
      </c>
      <c r="M194" s="9">
        <f t="shared" si="190"/>
        <v>45923</v>
      </c>
      <c r="N194" s="10" t="str">
        <f t="shared" si="179"/>
        <v>火</v>
      </c>
      <c r="O194" s="62" t="str">
        <f>IF(AND(M194&gt;=VLOOKUP(M194,データ!$E$3:$G$9,1,TRUE),M194&lt;=VLOOKUP(M194,データ!$E$3:$G$9,2,TRUE)),VLOOKUP(M194,データ!$E$3:$G$9,3,TRUE),"")</f>
        <v>秋　特別展</v>
      </c>
      <c r="P194" s="67" t="str">
        <f>IF(AND(M194&gt;=VLOOKUP(M194,データ!$E$14:$G$21,1,TRUE),M194&lt;=VLOOKUP(M194,データ!$E$14:$G$21,2,TRUE)),VLOOKUP(M194,データ!$E$14:$G$21,3,TRUE),"")</f>
        <v>テーマ展</v>
      </c>
      <c r="Q194" s="44" t="str">
        <f t="shared" si="180"/>
        <v>○</v>
      </c>
      <c r="R194" s="45"/>
      <c r="S194" s="10" t="str">
        <f t="shared" si="181"/>
        <v>○</v>
      </c>
      <c r="T194" s="45"/>
      <c r="U194" s="33" t="str">
        <f t="shared" si="182"/>
        <v>●</v>
      </c>
      <c r="V194" s="32"/>
      <c r="W194" s="33" t="str">
        <f t="shared" ref="W194" si="204">IF(L194="閉","休",IF(O194="","",IF(OR(N194="土",N194="日",I194=1),IF(OR(O194="ダミー　特別展",O194="ダミー　特別展"),"◎",IF(OR(O194="夏　特別展",O194="秋　特別展",O194="春　特別展"),"◎","")),"")))</f>
        <v>◎</v>
      </c>
      <c r="X194" s="32"/>
      <c r="Y194" s="33" t="str">
        <f t="shared" si="188"/>
        <v>○</v>
      </c>
      <c r="Z194" s="32">
        <f>IF(L194="閉","",(IF(AND(M194&gt;=VLOOKUP(M194,データ!$E$3:$G$9,1,TRUE),M194&lt;=VLOOKUP(M194,データ!$E$3:$G$9,2,TRUE)),VLOOKUP(M194,データ!$E$3:$H$9,4,TRUE),0)+IF(AND(M194&gt;=VLOOKUP(M194,データ!$E$14:$G$21,1,TRUE),M194&lt;=VLOOKUP(M194,データ!$E$14:$G$21,2,TRUE)),VLOOKUP(M194,データ!$E$14:$H$21,4,TRUE),0)))</f>
        <v>5</v>
      </c>
      <c r="AA194" s="33" t="str">
        <f t="shared" si="185"/>
        <v>○</v>
      </c>
      <c r="AB194" s="227">
        <f t="shared" si="186"/>
        <v>0.41666666666666669</v>
      </c>
      <c r="AC194" s="227">
        <f t="shared" si="187"/>
        <v>0.70833333333333337</v>
      </c>
      <c r="AD194" s="228" t="str">
        <f>IF(K194=1,IF(ISERROR(VLOOKUP(M194,データ!$A$3:$C$23,2,FALSE)),"",VLOOKUP(M194,データ!$A$3:$C$23,2,FALSE)),(IF(ISERROR(VLOOKUP(M194,データ!$A$3:$C$23,2,FALSE)),"",VLOOKUP(M194,データ!$A$3:$C$23,2,FALSE))))</f>
        <v>秋分の日</v>
      </c>
    </row>
    <row r="195" spans="1:30">
      <c r="A195" s="1">
        <f>IF(AND(M195&gt;=VLOOKUP(M195,データ!$K$3:$O$6,1,TRUE),M195&lt;=VLOOKUP(M195,データ!$K$3:$O$6,2,TRUE)),VLOOKUP(M195,データ!$K$3:$O$6,5,TRUE),"")</f>
        <v>1</v>
      </c>
      <c r="B195" s="74">
        <f>IF(AND(M195&gt;=VLOOKUP(M195,データ!$K$3:$O$6,1,TRUE),M195&lt;=VLOOKUP(M195,データ!$K$3:$O$6,2,TRUE)),VLOOKUP(M195,データ!$K$3:$O$6,3,TRUE),"")</f>
        <v>0.41666666666666669</v>
      </c>
      <c r="C195" s="1">
        <f>IF(AND(M195&gt;=VLOOKUP(M195,データ!$K$11:$O$16,1,TRUE),M195&lt;=VLOOKUP(M195,データ!$K$11:$O$16,2,TRUE)),VLOOKUP(M195,データ!$K$11:$O$16,5,TRUE),0)</f>
        <v>0</v>
      </c>
      <c r="D195" s="74" t="str">
        <f>IF(AND(M195&gt;=VLOOKUP(M195,データ!$K$11:$O$16,1,TRUE),M195&lt;=VLOOKUP(M195,データ!$K$11:$O$16,2,TRUE)),VLOOKUP(M195,データ!$K$11:$O$16,3,TRUE),"")</f>
        <v/>
      </c>
      <c r="E195" s="74">
        <f t="shared" si="176"/>
        <v>0.41666666666666669</v>
      </c>
      <c r="F195" s="75">
        <f>VLOOKUP(E195,データ!$K$20:$O$24,5,FALSE)</f>
        <v>0</v>
      </c>
      <c r="G195" s="74">
        <f>IF(AND(M195&gt;=VLOOKUP(M195,データ!$K$3:$O$6,1,TRUE),M195&lt;=VLOOKUP(M195,データ!$K$3:$O$6,2,TRUE)),VLOOKUP(M195,データ!$K$3:$O$6,4,TRUE),"")</f>
        <v>0.70833333333333337</v>
      </c>
      <c r="H195" s="256">
        <f>INDEX(データ!L$21:N$24,MATCH(配置表!E195,データ!K$21:K$24,0),MATCH(配置表!G195,データ!L$20:N$20,0))</f>
        <v>1</v>
      </c>
      <c r="I195" s="52" t="str">
        <f>IF(ISERROR(VLOOKUP(M195,データ!$A$3:$C$20,3,FALSE)),"",VLOOKUP(M195,データ!$A$3:$C$20,3,FALSE))</f>
        <v/>
      </c>
      <c r="J195" s="52" t="str">
        <f t="shared" si="177"/>
        <v/>
      </c>
      <c r="K195" s="53">
        <f t="shared" si="189"/>
        <v>0</v>
      </c>
      <c r="L195" s="28" t="str">
        <f t="shared" si="178"/>
        <v/>
      </c>
      <c r="M195" s="9">
        <f t="shared" si="190"/>
        <v>45924</v>
      </c>
      <c r="N195" s="10" t="str">
        <f t="shared" si="179"/>
        <v>水</v>
      </c>
      <c r="O195" s="62" t="str">
        <f>IF(AND(M195&gt;=VLOOKUP(M195,データ!$E$3:$G$9,1,TRUE),M195&lt;=VLOOKUP(M195,データ!$E$3:$G$9,2,TRUE)),VLOOKUP(M195,データ!$E$3:$G$9,3,TRUE),"")</f>
        <v>秋　特別展</v>
      </c>
      <c r="P195" s="67" t="str">
        <f>IF(AND(M195&gt;=VLOOKUP(M195,データ!$E$14:$G$21,1,TRUE),M195&lt;=VLOOKUP(M195,データ!$E$14:$G$21,2,TRUE)),VLOOKUP(M195,データ!$E$14:$G$21,3,TRUE),"")</f>
        <v>テーマ展</v>
      </c>
      <c r="Q195" s="44" t="str">
        <f t="shared" si="180"/>
        <v>○</v>
      </c>
      <c r="R195" s="45"/>
      <c r="S195" s="33" t="str">
        <f t="shared" ref="S195:S197" si="205">IF(H195="閉","休",IF(K195="","",IF(OR(J195="土",J195="日",E195=1),IF(OR(K195="ダミー　特別展",K195="ダミー　特別展"),"◎",IF(OR(K195="夏　特別展",K195="秋　特別展",K195="春　特別展"),"○","")),"")))</f>
        <v/>
      </c>
      <c r="T195" s="45"/>
      <c r="U195" s="33" t="str">
        <f t="shared" si="182"/>
        <v>●</v>
      </c>
      <c r="V195" s="32"/>
      <c r="W195" s="33" t="str">
        <f t="shared" ref="W195:W197" si="206">IF(P195="閉","休",IF(O195="","",IF(O195="冬　特別展",IF(OR(N195="土",N195="日",M195=1),"○",""),"○")))</f>
        <v>○</v>
      </c>
      <c r="X195" s="32"/>
      <c r="Y195" s="33" t="str">
        <f t="shared" si="188"/>
        <v>○</v>
      </c>
      <c r="Z195" s="32">
        <f>IF(L195="閉","",(IF(AND(M195&gt;=VLOOKUP(M195,データ!$E$3:$G$9,1,TRUE),M195&lt;=VLOOKUP(M195,データ!$E$3:$G$9,2,TRUE)),VLOOKUP(M195,データ!$E$3:$H$9,4,TRUE),0)+IF(AND(M195&gt;=VLOOKUP(M195,データ!$E$14:$G$21,1,TRUE),M195&lt;=VLOOKUP(M195,データ!$E$14:$G$21,2,TRUE)),VLOOKUP(M195,データ!$E$14:$H$21,4,TRUE),0)))</f>
        <v>5</v>
      </c>
      <c r="AA195" s="33" t="str">
        <f t="shared" si="185"/>
        <v>○</v>
      </c>
      <c r="AB195" s="227">
        <f t="shared" si="186"/>
        <v>0.41666666666666669</v>
      </c>
      <c r="AC195" s="227">
        <f t="shared" si="187"/>
        <v>0.70833333333333337</v>
      </c>
      <c r="AD195" s="228" t="str">
        <f>IF(K195=1,IF(ISERROR(VLOOKUP(M195,データ!$A$3:$C$23,2,FALSE)),"",VLOOKUP(M195,データ!$A$3:$C$23,2,FALSE)),(IF(ISERROR(VLOOKUP(M195,データ!$A$3:$C$23,2,FALSE)),"",VLOOKUP(M195,データ!$A$3:$C$23,2,FALSE))))</f>
        <v/>
      </c>
    </row>
    <row r="196" spans="1:30">
      <c r="A196" s="1">
        <f>IF(AND(M196&gt;=VLOOKUP(M196,データ!$K$3:$O$6,1,TRUE),M196&lt;=VLOOKUP(M196,データ!$K$3:$O$6,2,TRUE)),VLOOKUP(M196,データ!$K$3:$O$6,5,TRUE),"")</f>
        <v>1</v>
      </c>
      <c r="B196" s="74">
        <f>IF(AND(M196&gt;=VLOOKUP(M196,データ!$K$3:$O$6,1,TRUE),M196&lt;=VLOOKUP(M196,データ!$K$3:$O$6,2,TRUE)),VLOOKUP(M196,データ!$K$3:$O$6,3,TRUE),"")</f>
        <v>0.41666666666666669</v>
      </c>
      <c r="C196" s="1">
        <f>IF(AND(M196&gt;=VLOOKUP(M196,データ!$K$11:$O$16,1,TRUE),M196&lt;=VLOOKUP(M196,データ!$K$11:$O$16,2,TRUE)),VLOOKUP(M196,データ!$K$11:$O$16,5,TRUE),0)</f>
        <v>0</v>
      </c>
      <c r="D196" s="74" t="str">
        <f>IF(AND(M196&gt;=VLOOKUP(M196,データ!$K$11:$O$16,1,TRUE),M196&lt;=VLOOKUP(M196,データ!$K$11:$O$16,2,TRUE)),VLOOKUP(M196,データ!$K$11:$O$16,3,TRUE),"")</f>
        <v/>
      </c>
      <c r="E196" s="74">
        <f t="shared" si="176"/>
        <v>0.41666666666666669</v>
      </c>
      <c r="F196" s="75">
        <f>VLOOKUP(E196,データ!$K$20:$O$24,5,FALSE)</f>
        <v>0</v>
      </c>
      <c r="G196" s="74">
        <f>IF(AND(M196&gt;=VLOOKUP(M196,データ!$K$3:$O$6,1,TRUE),M196&lt;=VLOOKUP(M196,データ!$K$3:$O$6,2,TRUE)),VLOOKUP(M196,データ!$K$3:$O$6,4,TRUE),"")</f>
        <v>0.70833333333333337</v>
      </c>
      <c r="H196" s="256">
        <f>INDEX(データ!L$21:N$24,MATCH(配置表!E196,データ!K$21:K$24,0),MATCH(配置表!G196,データ!L$20:N$20,0))</f>
        <v>1</v>
      </c>
      <c r="I196" s="52" t="str">
        <f>IF(ISERROR(VLOOKUP(M196,データ!$A$3:$C$20,3,FALSE)),"",VLOOKUP(M196,データ!$A$3:$C$20,3,FALSE))</f>
        <v/>
      </c>
      <c r="J196" s="52" t="str">
        <f t="shared" si="177"/>
        <v/>
      </c>
      <c r="K196" s="53">
        <f t="shared" si="189"/>
        <v>0</v>
      </c>
      <c r="L196" s="28" t="str">
        <f t="shared" si="178"/>
        <v/>
      </c>
      <c r="M196" s="9">
        <f t="shared" si="190"/>
        <v>45925</v>
      </c>
      <c r="N196" s="10" t="str">
        <f t="shared" si="179"/>
        <v>木</v>
      </c>
      <c r="O196" s="62" t="str">
        <f>IF(AND(M196&gt;=VLOOKUP(M196,データ!$E$3:$G$9,1,TRUE),M196&lt;=VLOOKUP(M196,データ!$E$3:$G$9,2,TRUE)),VLOOKUP(M196,データ!$E$3:$G$9,3,TRUE),"")</f>
        <v>秋　特別展</v>
      </c>
      <c r="P196" s="67" t="str">
        <f>IF(AND(M196&gt;=VLOOKUP(M196,データ!$E$14:$G$21,1,TRUE),M196&lt;=VLOOKUP(M196,データ!$E$14:$G$21,2,TRUE)),VLOOKUP(M196,データ!$E$14:$G$21,3,TRUE),"")</f>
        <v>テーマ展</v>
      </c>
      <c r="Q196" s="44" t="str">
        <f t="shared" si="180"/>
        <v>○</v>
      </c>
      <c r="R196" s="45"/>
      <c r="S196" s="33" t="str">
        <f t="shared" si="205"/>
        <v/>
      </c>
      <c r="T196" s="45"/>
      <c r="U196" s="33" t="str">
        <f t="shared" si="182"/>
        <v>●</v>
      </c>
      <c r="V196" s="32"/>
      <c r="W196" s="33" t="str">
        <f t="shared" si="206"/>
        <v>○</v>
      </c>
      <c r="X196" s="32"/>
      <c r="Y196" s="33" t="str">
        <f t="shared" si="188"/>
        <v>○</v>
      </c>
      <c r="Z196" s="32">
        <f>IF(L196="閉","",(IF(AND(M196&gt;=VLOOKUP(M196,データ!$E$3:$G$9,1,TRUE),M196&lt;=VLOOKUP(M196,データ!$E$3:$G$9,2,TRUE)),VLOOKUP(M196,データ!$E$3:$H$9,4,TRUE),0)+IF(AND(M196&gt;=VLOOKUP(M196,データ!$E$14:$G$21,1,TRUE),M196&lt;=VLOOKUP(M196,データ!$E$14:$G$21,2,TRUE)),VLOOKUP(M196,データ!$E$14:$H$21,4,TRUE),0)))</f>
        <v>5</v>
      </c>
      <c r="AA196" s="33" t="str">
        <f t="shared" si="185"/>
        <v>○</v>
      </c>
      <c r="AB196" s="227">
        <f t="shared" si="186"/>
        <v>0.41666666666666669</v>
      </c>
      <c r="AC196" s="227">
        <f t="shared" si="187"/>
        <v>0.70833333333333337</v>
      </c>
      <c r="AD196" s="228" t="str">
        <f>IF(K196=1,IF(ISERROR(VLOOKUP(M196,データ!$A$3:$C$23,2,FALSE)),"",VLOOKUP(M196,データ!$A$3:$C$23,2,FALSE)),(IF(ISERROR(VLOOKUP(M196,データ!$A$3:$C$23,2,FALSE)),"",VLOOKUP(M196,データ!$A$3:$C$23,2,FALSE))))</f>
        <v/>
      </c>
    </row>
    <row r="197" spans="1:30">
      <c r="A197" s="1">
        <f>IF(AND(M197&gt;=VLOOKUP(M197,データ!$K$3:$O$6,1,TRUE),M197&lt;=VLOOKUP(M197,データ!$K$3:$O$6,2,TRUE)),VLOOKUP(M197,データ!$K$3:$O$6,5,TRUE),"")</f>
        <v>1</v>
      </c>
      <c r="B197" s="74">
        <f>IF(AND(M197&gt;=VLOOKUP(M197,データ!$K$3:$O$6,1,TRUE),M197&lt;=VLOOKUP(M197,データ!$K$3:$O$6,2,TRUE)),VLOOKUP(M197,データ!$K$3:$O$6,3,TRUE),"")</f>
        <v>0.41666666666666669</v>
      </c>
      <c r="C197" s="1">
        <f>IF(AND(M197&gt;=VLOOKUP(M197,データ!$K$11:$O$16,1,TRUE),M197&lt;=VLOOKUP(M197,データ!$K$11:$O$16,2,TRUE)),VLOOKUP(M197,データ!$K$11:$O$16,5,TRUE),0)</f>
        <v>0</v>
      </c>
      <c r="D197" s="74" t="str">
        <f>IF(AND(M197&gt;=VLOOKUP(M197,データ!$K$11:$O$16,1,TRUE),M197&lt;=VLOOKUP(M197,データ!$K$11:$O$16,2,TRUE)),VLOOKUP(M197,データ!$K$11:$O$16,3,TRUE),"")</f>
        <v/>
      </c>
      <c r="E197" s="74">
        <f t="shared" si="176"/>
        <v>0.41666666666666669</v>
      </c>
      <c r="F197" s="75">
        <f>VLOOKUP(E197,データ!$K$20:$O$24,5,FALSE)</f>
        <v>0</v>
      </c>
      <c r="G197" s="74">
        <f>IF(AND(M197&gt;=VLOOKUP(M197,データ!$K$3:$O$6,1,TRUE),M197&lt;=VLOOKUP(M197,データ!$K$3:$O$6,2,TRUE)),VLOOKUP(M197,データ!$K$3:$O$6,4,TRUE),"")</f>
        <v>0.70833333333333337</v>
      </c>
      <c r="H197" s="256">
        <f>INDEX(データ!L$21:N$24,MATCH(配置表!E197,データ!K$21:K$24,0),MATCH(配置表!G197,データ!L$20:N$20,0))</f>
        <v>1</v>
      </c>
      <c r="I197" s="52" t="str">
        <f>IF(ISERROR(VLOOKUP(M197,データ!$A$3:$C$20,3,FALSE)),"",VLOOKUP(M197,データ!$A$3:$C$20,3,FALSE))</f>
        <v/>
      </c>
      <c r="J197" s="52" t="str">
        <f t="shared" si="177"/>
        <v/>
      </c>
      <c r="K197" s="53">
        <f t="shared" si="189"/>
        <v>0</v>
      </c>
      <c r="L197" s="28" t="str">
        <f t="shared" si="178"/>
        <v/>
      </c>
      <c r="M197" s="9">
        <f t="shared" si="190"/>
        <v>45926</v>
      </c>
      <c r="N197" s="10" t="str">
        <f t="shared" si="179"/>
        <v>金</v>
      </c>
      <c r="O197" s="62" t="str">
        <f>IF(AND(M197&gt;=VLOOKUP(M197,データ!$E$3:$G$9,1,TRUE),M197&lt;=VLOOKUP(M197,データ!$E$3:$G$9,2,TRUE)),VLOOKUP(M197,データ!$E$3:$G$9,3,TRUE),"")</f>
        <v>秋　特別展</v>
      </c>
      <c r="P197" s="67" t="str">
        <f>IF(AND(M197&gt;=VLOOKUP(M197,データ!$E$14:$G$21,1,TRUE),M197&lt;=VLOOKUP(M197,データ!$E$14:$G$21,2,TRUE)),VLOOKUP(M197,データ!$E$14:$G$21,3,TRUE),"")</f>
        <v>テーマ展</v>
      </c>
      <c r="Q197" s="44" t="str">
        <f t="shared" si="180"/>
        <v>○</v>
      </c>
      <c r="R197" s="45"/>
      <c r="S197" s="33" t="str">
        <f t="shared" si="205"/>
        <v/>
      </c>
      <c r="T197" s="45"/>
      <c r="U197" s="33" t="str">
        <f t="shared" si="182"/>
        <v>●</v>
      </c>
      <c r="V197" s="32"/>
      <c r="W197" s="33" t="str">
        <f t="shared" si="206"/>
        <v>○</v>
      </c>
      <c r="X197" s="32"/>
      <c r="Y197" s="33" t="str">
        <f t="shared" si="188"/>
        <v>○</v>
      </c>
      <c r="Z197" s="32">
        <f>IF(L197="閉","",(IF(AND(M197&gt;=VLOOKUP(M197,データ!$E$3:$G$9,1,TRUE),M197&lt;=VLOOKUP(M197,データ!$E$3:$G$9,2,TRUE)),VLOOKUP(M197,データ!$E$3:$H$9,4,TRUE),0)+IF(AND(M197&gt;=VLOOKUP(M197,データ!$E$14:$G$21,1,TRUE),M197&lt;=VLOOKUP(M197,データ!$E$14:$G$21,2,TRUE)),VLOOKUP(M197,データ!$E$14:$H$21,4,TRUE),0)))</f>
        <v>5</v>
      </c>
      <c r="AA197" s="33" t="str">
        <f t="shared" si="185"/>
        <v>○</v>
      </c>
      <c r="AB197" s="227">
        <f t="shared" si="186"/>
        <v>0.41666666666666669</v>
      </c>
      <c r="AC197" s="227">
        <f t="shared" si="187"/>
        <v>0.70833333333333337</v>
      </c>
      <c r="AD197" s="228" t="str">
        <f>IF(K197=1,IF(ISERROR(VLOOKUP(M197,データ!$A$3:$C$23,2,FALSE)),"",VLOOKUP(M197,データ!$A$3:$C$23,2,FALSE)),(IF(ISERROR(VLOOKUP(M197,データ!$A$3:$C$23,2,FALSE)),"",VLOOKUP(M197,データ!$A$3:$C$23,2,FALSE))))</f>
        <v/>
      </c>
    </row>
    <row r="198" spans="1:30">
      <c r="A198" s="1">
        <f>IF(AND(M198&gt;=VLOOKUP(M198,データ!$K$3:$O$6,1,TRUE),M198&lt;=VLOOKUP(M198,データ!$K$3:$O$6,2,TRUE)),VLOOKUP(M198,データ!$K$3:$O$6,5,TRUE),"")</f>
        <v>1</v>
      </c>
      <c r="B198" s="74">
        <f>IF(AND(M198&gt;=VLOOKUP(M198,データ!$K$3:$O$6,1,TRUE),M198&lt;=VLOOKUP(M198,データ!$K$3:$O$6,2,TRUE)),VLOOKUP(M198,データ!$K$3:$O$6,3,TRUE),"")</f>
        <v>0.41666666666666669</v>
      </c>
      <c r="C198" s="1">
        <f>IF(AND(M198&gt;=VLOOKUP(M198,データ!$K$11:$O$16,1,TRUE),M198&lt;=VLOOKUP(M198,データ!$K$11:$O$16,2,TRUE)),VLOOKUP(M198,データ!$K$11:$O$16,5,TRUE),0)</f>
        <v>0</v>
      </c>
      <c r="D198" s="74" t="str">
        <f>IF(AND(M198&gt;=VLOOKUP(M198,データ!$K$11:$O$16,1,TRUE),M198&lt;=VLOOKUP(M198,データ!$K$11:$O$16,2,TRUE)),VLOOKUP(M198,データ!$K$11:$O$16,3,TRUE),"")</f>
        <v/>
      </c>
      <c r="E198" s="74">
        <f t="shared" si="176"/>
        <v>0.41666666666666669</v>
      </c>
      <c r="F198" s="75">
        <f>VLOOKUP(E198,データ!$K$20:$O$24,5,FALSE)</f>
        <v>0</v>
      </c>
      <c r="G198" s="74">
        <f>IF(AND(M198&gt;=VLOOKUP(M198,データ!$K$3:$O$6,1,TRUE),M198&lt;=VLOOKUP(M198,データ!$K$3:$O$6,2,TRUE)),VLOOKUP(M198,データ!$K$3:$O$6,4,TRUE),"")</f>
        <v>0.70833333333333337</v>
      </c>
      <c r="H198" s="256">
        <f>INDEX(データ!L$21:N$24,MATCH(配置表!E198,データ!K$21:K$24,0),MATCH(配置表!G198,データ!L$20:N$20,0))</f>
        <v>1</v>
      </c>
      <c r="I198" s="52" t="str">
        <f>IF(ISERROR(VLOOKUP(M198,データ!$A$3:$C$20,3,FALSE)),"",VLOOKUP(M198,データ!$A$3:$C$20,3,FALSE))</f>
        <v/>
      </c>
      <c r="J198" s="52" t="str">
        <f t="shared" si="177"/>
        <v/>
      </c>
      <c r="K198" s="53">
        <f t="shared" si="189"/>
        <v>0</v>
      </c>
      <c r="L198" s="28" t="str">
        <f t="shared" si="178"/>
        <v/>
      </c>
      <c r="M198" s="9">
        <f t="shared" si="190"/>
        <v>45927</v>
      </c>
      <c r="N198" s="10" t="str">
        <f t="shared" si="179"/>
        <v>土</v>
      </c>
      <c r="O198" s="62" t="str">
        <f>IF(AND(M198&gt;=VLOOKUP(M198,データ!$E$3:$G$9,1,TRUE),M198&lt;=VLOOKUP(M198,データ!$E$3:$G$9,2,TRUE)),VLOOKUP(M198,データ!$E$3:$G$9,3,TRUE),"")</f>
        <v>秋　特別展</v>
      </c>
      <c r="P198" s="67" t="str">
        <f>IF(AND(M198&gt;=VLOOKUP(M198,データ!$E$14:$G$21,1,TRUE),M198&lt;=VLOOKUP(M198,データ!$E$14:$G$21,2,TRUE)),VLOOKUP(M198,データ!$E$14:$G$21,3,TRUE),"")</f>
        <v>テーマ展</v>
      </c>
      <c r="Q198" s="44" t="str">
        <f t="shared" si="180"/>
        <v>○</v>
      </c>
      <c r="R198" s="45"/>
      <c r="S198" s="10" t="str">
        <f t="shared" ref="S198:S199" si="207">IF(L198="閉","休",IF(O198="","",IF(O198="冬　特別展",IF(OR(N198="土",N198="日",I198=1),"○",""),"○")))</f>
        <v>○</v>
      </c>
      <c r="T198" s="45"/>
      <c r="U198" s="33" t="str">
        <f t="shared" si="182"/>
        <v>●</v>
      </c>
      <c r="V198" s="32"/>
      <c r="W198" s="33" t="str">
        <f t="shared" ref="W198:W199" si="208">IF(L198="閉","休",IF(O198="","",IF(OR(N198="土",N198="日",I198=1),IF(OR(O198="ダミー　特別展",O198="ダミー　特別展"),"◎",IF(OR(O198="夏　特別展",O198="秋　特別展",O198="春　特別展"),"◎","")),"")))</f>
        <v>◎</v>
      </c>
      <c r="X198" s="32"/>
      <c r="Y198" s="33" t="str">
        <f t="shared" si="188"/>
        <v>○</v>
      </c>
      <c r="Z198" s="32">
        <f>IF(L198="閉","",(IF(AND(M198&gt;=VLOOKUP(M198,データ!$E$3:$G$9,1,TRUE),M198&lt;=VLOOKUP(M198,データ!$E$3:$G$9,2,TRUE)),VLOOKUP(M198,データ!$E$3:$H$9,4,TRUE),0)+IF(AND(M198&gt;=VLOOKUP(M198,データ!$E$14:$G$21,1,TRUE),M198&lt;=VLOOKUP(M198,データ!$E$14:$G$21,2,TRUE)),VLOOKUP(M198,データ!$E$14:$H$21,4,TRUE),0)))</f>
        <v>5</v>
      </c>
      <c r="AA198" s="33" t="str">
        <f t="shared" si="185"/>
        <v>○</v>
      </c>
      <c r="AB198" s="227">
        <f t="shared" si="186"/>
        <v>0.41666666666666669</v>
      </c>
      <c r="AC198" s="227">
        <f t="shared" si="187"/>
        <v>0.70833333333333337</v>
      </c>
      <c r="AD198" s="228" t="str">
        <f>IF(K198=1,IF(ISERROR(VLOOKUP(M198,データ!$A$3:$C$23,2,FALSE)),"",VLOOKUP(M198,データ!$A$3:$C$23,2,FALSE)),(IF(ISERROR(VLOOKUP(M198,データ!$A$3:$C$23,2,FALSE)),"",VLOOKUP(M198,データ!$A$3:$C$23,2,FALSE))))</f>
        <v/>
      </c>
    </row>
    <row r="199" spans="1:30">
      <c r="A199" s="1">
        <f>IF(AND(M199&gt;=VLOOKUP(M199,データ!$K$3:$O$6,1,TRUE),M199&lt;=VLOOKUP(M199,データ!$K$3:$O$6,2,TRUE)),VLOOKUP(M199,データ!$K$3:$O$6,5,TRUE),"")</f>
        <v>1</v>
      </c>
      <c r="B199" s="74">
        <f>IF(AND(M199&gt;=VLOOKUP(M199,データ!$K$3:$O$6,1,TRUE),M199&lt;=VLOOKUP(M199,データ!$K$3:$O$6,2,TRUE)),VLOOKUP(M199,データ!$K$3:$O$6,3,TRUE),"")</f>
        <v>0.41666666666666669</v>
      </c>
      <c r="C199" s="1">
        <f>IF(AND(M199&gt;=VLOOKUP(M199,データ!$K$11:$O$16,1,TRUE),M199&lt;=VLOOKUP(M199,データ!$K$11:$O$16,2,TRUE)),VLOOKUP(M199,データ!$K$11:$O$16,5,TRUE),0)</f>
        <v>0</v>
      </c>
      <c r="D199" s="74" t="str">
        <f>IF(AND(M199&gt;=VLOOKUP(M199,データ!$K$11:$O$16,1,TRUE),M199&lt;=VLOOKUP(M199,データ!$K$11:$O$16,2,TRUE)),VLOOKUP(M199,データ!$K$11:$O$16,3,TRUE),"")</f>
        <v/>
      </c>
      <c r="E199" s="74">
        <f t="shared" si="176"/>
        <v>0.41666666666666669</v>
      </c>
      <c r="F199" s="75">
        <f>VLOOKUP(E199,データ!$K$20:$O$24,5,FALSE)</f>
        <v>0</v>
      </c>
      <c r="G199" s="74">
        <f>IF(AND(M199&gt;=VLOOKUP(M199,データ!$K$3:$O$6,1,TRUE),M199&lt;=VLOOKUP(M199,データ!$K$3:$O$6,2,TRUE)),VLOOKUP(M199,データ!$K$3:$O$6,4,TRUE),"")</f>
        <v>0.70833333333333337</v>
      </c>
      <c r="H199" s="256">
        <f>INDEX(データ!L$21:N$24,MATCH(配置表!E199,データ!K$21:K$24,0),MATCH(配置表!G199,データ!L$20:N$20,0))</f>
        <v>1</v>
      </c>
      <c r="I199" s="52" t="str">
        <f>IF(ISERROR(VLOOKUP(M199,データ!$A$3:$C$20,3,FALSE)),"",VLOOKUP(M199,データ!$A$3:$C$20,3,FALSE))</f>
        <v/>
      </c>
      <c r="J199" s="52" t="str">
        <f t="shared" si="177"/>
        <v/>
      </c>
      <c r="K199" s="53">
        <f t="shared" si="189"/>
        <v>0</v>
      </c>
      <c r="L199" s="28" t="str">
        <f t="shared" si="178"/>
        <v/>
      </c>
      <c r="M199" s="9">
        <f t="shared" si="190"/>
        <v>45928</v>
      </c>
      <c r="N199" s="10" t="str">
        <f t="shared" si="179"/>
        <v>日</v>
      </c>
      <c r="O199" s="62" t="str">
        <f>IF(AND(M199&gt;=VLOOKUP(M199,データ!$E$3:$G$9,1,TRUE),M199&lt;=VLOOKUP(M199,データ!$E$3:$G$9,2,TRUE)),VLOOKUP(M199,データ!$E$3:$G$9,3,TRUE),"")</f>
        <v>秋　特別展</v>
      </c>
      <c r="P199" s="67" t="str">
        <f>IF(AND(M199&gt;=VLOOKUP(M199,データ!$E$14:$G$21,1,TRUE),M199&lt;=VLOOKUP(M199,データ!$E$14:$G$21,2,TRUE)),VLOOKUP(M199,データ!$E$14:$G$21,3,TRUE),"")</f>
        <v>テーマ展</v>
      </c>
      <c r="Q199" s="44" t="str">
        <f t="shared" si="180"/>
        <v>○</v>
      </c>
      <c r="R199" s="45"/>
      <c r="S199" s="10" t="str">
        <f t="shared" si="207"/>
        <v>○</v>
      </c>
      <c r="T199" s="45"/>
      <c r="U199" s="33" t="str">
        <f t="shared" si="182"/>
        <v>●</v>
      </c>
      <c r="V199" s="32"/>
      <c r="W199" s="33" t="str">
        <f t="shared" si="208"/>
        <v>◎</v>
      </c>
      <c r="X199" s="32"/>
      <c r="Y199" s="33" t="str">
        <f t="shared" si="188"/>
        <v>○</v>
      </c>
      <c r="Z199" s="32">
        <f>IF(L199="閉","",(IF(AND(M199&gt;=VLOOKUP(M199,データ!$E$3:$G$9,1,TRUE),M199&lt;=VLOOKUP(M199,データ!$E$3:$G$9,2,TRUE)),VLOOKUP(M199,データ!$E$3:$H$9,4,TRUE),0)+IF(AND(M199&gt;=VLOOKUP(M199,データ!$E$14:$G$21,1,TRUE),M199&lt;=VLOOKUP(M199,データ!$E$14:$G$21,2,TRUE)),VLOOKUP(M199,データ!$E$14:$H$21,4,TRUE),0)))</f>
        <v>5</v>
      </c>
      <c r="AA199" s="33" t="str">
        <f t="shared" si="185"/>
        <v>○</v>
      </c>
      <c r="AB199" s="227">
        <f t="shared" si="186"/>
        <v>0.41666666666666669</v>
      </c>
      <c r="AC199" s="227">
        <f t="shared" si="187"/>
        <v>0.70833333333333337</v>
      </c>
      <c r="AD199" s="228" t="str">
        <f>IF(K199=1,IF(ISERROR(VLOOKUP(M199,データ!$A$3:$C$23,2,FALSE)),"",VLOOKUP(M199,データ!$A$3:$C$23,2,FALSE)),(IF(ISERROR(VLOOKUP(M199,データ!$A$3:$C$23,2,FALSE)),"",VLOOKUP(M199,データ!$A$3:$C$23,2,FALSE))))</f>
        <v/>
      </c>
    </row>
    <row r="200" spans="1:30">
      <c r="A200" s="1">
        <f>IF(AND(M200&gt;=VLOOKUP(M200,データ!$K$3:$O$6,1,TRUE),M200&lt;=VLOOKUP(M200,データ!$K$3:$O$6,2,TRUE)),VLOOKUP(M200,データ!$K$3:$O$6,5,TRUE),"")</f>
        <v>1</v>
      </c>
      <c r="B200" s="74">
        <f>IF(AND(M200&gt;=VLOOKUP(M200,データ!$K$3:$O$6,1,TRUE),M200&lt;=VLOOKUP(M200,データ!$K$3:$O$6,2,TRUE)),VLOOKUP(M200,データ!$K$3:$O$6,3,TRUE),"")</f>
        <v>0.41666666666666669</v>
      </c>
      <c r="C200" s="1">
        <f>IF(AND(M200&gt;=VLOOKUP(M200,データ!$K$11:$O$16,1,TRUE),M200&lt;=VLOOKUP(M200,データ!$K$11:$O$16,2,TRUE)),VLOOKUP(M200,データ!$K$11:$O$16,5,TRUE),0)</f>
        <v>0</v>
      </c>
      <c r="D200" s="74" t="str">
        <f>IF(AND(M200&gt;=VLOOKUP(M200,データ!$K$11:$O$16,1,TRUE),M200&lt;=VLOOKUP(M200,データ!$K$11:$O$16,2,TRUE)),VLOOKUP(M200,データ!$K$11:$O$16,3,TRUE),"")</f>
        <v/>
      </c>
      <c r="E200" s="74">
        <f t="shared" si="176"/>
        <v>0.41666666666666669</v>
      </c>
      <c r="F200" s="75">
        <f>VLOOKUP(E200,データ!$K$20:$O$24,5,FALSE)</f>
        <v>0</v>
      </c>
      <c r="G200" s="74">
        <f>IF(AND(M200&gt;=VLOOKUP(M200,データ!$K$3:$O$6,1,TRUE),M200&lt;=VLOOKUP(M200,データ!$K$3:$O$6,2,TRUE)),VLOOKUP(M200,データ!$K$3:$O$6,4,TRUE),"")</f>
        <v>0.70833333333333337</v>
      </c>
      <c r="H200" s="256">
        <f>INDEX(データ!L$21:N$24,MATCH(配置表!E200,データ!K$21:K$24,0),MATCH(配置表!G200,データ!L$20:N$20,0))</f>
        <v>1</v>
      </c>
      <c r="I200" s="52" t="str">
        <f>IF(ISERROR(VLOOKUP(M200,データ!$A$3:$C$20,3,FALSE)),"",VLOOKUP(M200,データ!$A$3:$C$20,3,FALSE))</f>
        <v/>
      </c>
      <c r="J200" s="52">
        <f t="shared" si="177"/>
        <v>1</v>
      </c>
      <c r="K200" s="53">
        <f t="shared" si="189"/>
        <v>1</v>
      </c>
      <c r="L200" s="28" t="str">
        <f t="shared" si="178"/>
        <v>閉</v>
      </c>
      <c r="M200" s="9">
        <f t="shared" si="190"/>
        <v>45929</v>
      </c>
      <c r="N200" s="10" t="str">
        <f t="shared" si="179"/>
        <v>月</v>
      </c>
      <c r="O200" s="62" t="str">
        <f>IF(AND(M200&gt;=VLOOKUP(M200,データ!$E$3:$G$9,1,TRUE),M200&lt;=VLOOKUP(M200,データ!$E$3:$G$9,2,TRUE)),VLOOKUP(M200,データ!$E$3:$G$9,3,TRUE),"")</f>
        <v>秋　特別展</v>
      </c>
      <c r="P200" s="67" t="str">
        <f>IF(AND(M200&gt;=VLOOKUP(M200,データ!$E$14:$G$21,1,TRUE),M200&lt;=VLOOKUP(M200,データ!$E$14:$G$21,2,TRUE)),VLOOKUP(M200,データ!$E$14:$G$21,3,TRUE),"")</f>
        <v>テーマ展</v>
      </c>
      <c r="Q200" s="44" t="str">
        <f t="shared" si="180"/>
        <v>休</v>
      </c>
      <c r="R200" s="45"/>
      <c r="S200" s="10" t="str">
        <f t="shared" si="181"/>
        <v>休</v>
      </c>
      <c r="T200" s="32"/>
      <c r="U200" s="33" t="str">
        <f t="shared" si="182"/>
        <v>休</v>
      </c>
      <c r="V200" s="32"/>
      <c r="W200" s="33" t="str">
        <f t="shared" si="183"/>
        <v>休</v>
      </c>
      <c r="X200" s="32"/>
      <c r="Y200" s="33" t="str">
        <f t="shared" si="188"/>
        <v>休</v>
      </c>
      <c r="Z200" s="32" t="str">
        <f>IF(L200="閉","",(IF(AND(M200&gt;=VLOOKUP(M200,データ!$E$3:$G$9,1,TRUE),M200&lt;=VLOOKUP(M200,データ!$E$3:$G$9,2,TRUE)),VLOOKUP(M200,データ!$E$3:$H$9,4,TRUE),0)+IF(AND(M200&gt;=VLOOKUP(M200,データ!$E$14:$G$21,1,TRUE),M200&lt;=VLOOKUP(M200,データ!$E$14:$G$21,2,TRUE)),VLOOKUP(M200,データ!$E$14:$H$21,4,TRUE),0)))</f>
        <v/>
      </c>
      <c r="AA200" s="33" t="str">
        <f t="shared" si="185"/>
        <v>休</v>
      </c>
      <c r="AB200" s="227" t="str">
        <f t="shared" si="186"/>
        <v/>
      </c>
      <c r="AC200" s="227" t="str">
        <f t="shared" si="187"/>
        <v/>
      </c>
      <c r="AD200" s="228" t="str">
        <f>IF(K200=1,IF(ISERROR(VLOOKUP(M200,データ!$A$3:$C$23,2,FALSE)),"",VLOOKUP(M200,データ!$A$3:$C$23,2,FALSE)),(IF(ISERROR(VLOOKUP(M200,データ!$A$3:$C$23,2,FALSE)),"",VLOOKUP(M200,データ!$A$3:$C$23,2,FALSE))))</f>
        <v/>
      </c>
    </row>
    <row r="201" spans="1:30">
      <c r="A201" s="1">
        <f>IF(AND(M201&gt;=VLOOKUP(M201,データ!$K$3:$O$6,1,TRUE),M201&lt;=VLOOKUP(M201,データ!$K$3:$O$6,2,TRUE)),VLOOKUP(M201,データ!$K$3:$O$6,5,TRUE),"")</f>
        <v>1</v>
      </c>
      <c r="B201" s="74">
        <f>IF(AND(M201&gt;=VLOOKUP(M201,データ!$K$3:$O$6,1,TRUE),M201&lt;=VLOOKUP(M201,データ!$K$3:$O$6,2,TRUE)),VLOOKUP(M201,データ!$K$3:$O$6,3,TRUE),"")</f>
        <v>0.41666666666666669</v>
      </c>
      <c r="C201" s="1">
        <f>IF(AND(M201&gt;=VLOOKUP(M201,データ!$K$11:$O$16,1,TRUE),M201&lt;=VLOOKUP(M201,データ!$K$11:$O$16,2,TRUE)),VLOOKUP(M201,データ!$K$11:$O$16,5,TRUE),0)</f>
        <v>0</v>
      </c>
      <c r="D201" s="74" t="str">
        <f>IF(AND(M201&gt;=VLOOKUP(M201,データ!$K$11:$O$16,1,TRUE),M201&lt;=VLOOKUP(M201,データ!$K$11:$O$16,2,TRUE)),VLOOKUP(M201,データ!$K$11:$O$16,3,TRUE),"")</f>
        <v/>
      </c>
      <c r="E201" s="74">
        <f t="shared" si="176"/>
        <v>0.41666666666666669</v>
      </c>
      <c r="F201" s="75">
        <f>VLOOKUP(E201,データ!$K$20:$O$24,5,FALSE)</f>
        <v>0</v>
      </c>
      <c r="G201" s="74">
        <f>IF(AND(M201&gt;=VLOOKUP(M201,データ!$K$3:$O$6,1,TRUE),M201&lt;=VLOOKUP(M201,データ!$K$3:$O$6,2,TRUE)),VLOOKUP(M201,データ!$K$3:$O$6,4,TRUE),"")</f>
        <v>0.70833333333333337</v>
      </c>
      <c r="H201" s="256">
        <f>INDEX(データ!L$21:N$24,MATCH(配置表!E201,データ!K$21:K$24,0),MATCH(配置表!G201,データ!L$20:N$20,0))</f>
        <v>1</v>
      </c>
      <c r="I201" s="52" t="str">
        <f>IF(ISERROR(VLOOKUP(M201,データ!$A$3:$C$20,3,FALSE)),"",VLOOKUP(M201,データ!$A$3:$C$20,3,FALSE))</f>
        <v/>
      </c>
      <c r="J201" s="52" t="str">
        <f t="shared" si="177"/>
        <v/>
      </c>
      <c r="K201" s="53">
        <f t="shared" si="189"/>
        <v>0</v>
      </c>
      <c r="L201" s="28" t="str">
        <f t="shared" si="178"/>
        <v/>
      </c>
      <c r="M201" s="9">
        <f t="shared" si="190"/>
        <v>45930</v>
      </c>
      <c r="N201" s="10" t="str">
        <f t="shared" si="179"/>
        <v>火</v>
      </c>
      <c r="O201" s="62" t="str">
        <f>IF(AND(M201&gt;=VLOOKUP(M201,データ!$E$3:$G$9,1,TRUE),M201&lt;=VLOOKUP(M201,データ!$E$3:$G$9,2,TRUE)),VLOOKUP(M201,データ!$E$3:$G$9,3,TRUE),"")</f>
        <v>秋　特別展</v>
      </c>
      <c r="P201" s="67" t="str">
        <f>IF(AND(M201&gt;=VLOOKUP(M201,データ!$E$14:$G$21,1,TRUE),M201&lt;=VLOOKUP(M201,データ!$E$14:$G$21,2,TRUE)),VLOOKUP(M201,データ!$E$14:$G$21,3,TRUE),"")</f>
        <v>テーマ展</v>
      </c>
      <c r="Q201" s="10" t="str">
        <f t="shared" si="180"/>
        <v>○</v>
      </c>
      <c r="R201" s="45"/>
      <c r="S201" s="33" t="str">
        <f t="shared" ref="S201" si="209">IF(H201="閉","休",IF(K201="","",IF(OR(J201="土",J201="日",E201=1),IF(OR(K201="ダミー　特別展",K201="ダミー　特別展"),"◎",IF(OR(K201="夏　特別展",K201="秋　特別展",K201="春　特別展"),"○","")),"")))</f>
        <v/>
      </c>
      <c r="T201" s="45"/>
      <c r="U201" s="33" t="str">
        <f t="shared" ref="U201" si="210">IF(L201="閉","休",IF(S201="","●","●"))</f>
        <v>●</v>
      </c>
      <c r="V201" s="32"/>
      <c r="W201" s="33" t="str">
        <f t="shared" ref="W201" si="211">IF(P201="閉","休",IF(O201="","",IF(O201="冬　特別展",IF(OR(N201="土",N201="日",M201=1),"○",""),"○")))</f>
        <v>○</v>
      </c>
      <c r="X201" s="32"/>
      <c r="Y201" s="33" t="str">
        <f t="shared" si="188"/>
        <v>○</v>
      </c>
      <c r="Z201" s="32">
        <f>IF(L201="閉","",(IF(AND(M201&gt;=VLOOKUP(M201,データ!$E$3:$G$9,1,TRUE),M201&lt;=VLOOKUP(M201,データ!$E$3:$G$9,2,TRUE)),VLOOKUP(M201,データ!$E$3:$H$9,4,TRUE),0)+IF(AND(M201&gt;=VLOOKUP(M201,データ!$E$14:$G$21,1,TRUE),M201&lt;=VLOOKUP(M201,データ!$E$14:$G$21,2,TRUE)),VLOOKUP(M201,データ!$E$14:$H$21,4,TRUE),0)))</f>
        <v>5</v>
      </c>
      <c r="AA201" s="33" t="str">
        <f t="shared" si="185"/>
        <v>○</v>
      </c>
      <c r="AB201" s="227">
        <f t="shared" si="186"/>
        <v>0.41666666666666669</v>
      </c>
      <c r="AC201" s="227">
        <f t="shared" si="187"/>
        <v>0.70833333333333337</v>
      </c>
      <c r="AD201" s="228" t="str">
        <f>IF(K201=1,IF(ISERROR(VLOOKUP(M201,データ!$A$3:$C$23,2,FALSE)),"",VLOOKUP(M201,データ!$A$3:$C$23,2,FALSE)),(IF(ISERROR(VLOOKUP(M201,データ!$A$3:$C$23,2,FALSE)),"",VLOOKUP(M201,データ!$A$3:$C$23,2,FALSE))))</f>
        <v/>
      </c>
    </row>
    <row r="202" spans="1:30" ht="12" thickBot="1">
      <c r="H202" s="256"/>
      <c r="I202" s="52"/>
      <c r="J202" s="52"/>
      <c r="K202" s="53"/>
      <c r="L202" s="28" t="str">
        <f t="shared" ref="L202:L237" si="212">IF(K202=1,"閉","")</f>
        <v/>
      </c>
      <c r="M202" s="29"/>
      <c r="N202" s="27"/>
      <c r="O202" s="64"/>
      <c r="P202" s="68"/>
      <c r="Q202" s="22"/>
      <c r="R202" s="41"/>
      <c r="S202" s="22"/>
      <c r="T202" s="41"/>
      <c r="U202" s="22"/>
      <c r="V202" s="23"/>
      <c r="W202" s="22"/>
      <c r="X202" s="23"/>
      <c r="Y202" s="34"/>
      <c r="Z202" s="23"/>
      <c r="AA202" s="34"/>
      <c r="AB202" s="229"/>
      <c r="AC202" s="230"/>
      <c r="AD202" s="231"/>
    </row>
    <row r="203" spans="1:30" s="18" customFormat="1" ht="12" customHeight="1" thickBot="1">
      <c r="H203" s="258"/>
      <c r="I203" s="54"/>
      <c r="J203" s="54"/>
      <c r="K203" s="55"/>
      <c r="L203" s="28" t="str">
        <f t="shared" si="212"/>
        <v/>
      </c>
      <c r="M203" s="57"/>
      <c r="N203" s="50"/>
      <c r="O203" s="50"/>
      <c r="P203" s="50"/>
      <c r="Q203" s="10"/>
      <c r="R203" s="10"/>
      <c r="S203" s="10"/>
      <c r="T203" s="10"/>
      <c r="U203" s="10"/>
      <c r="V203" s="8"/>
      <c r="W203" s="10"/>
      <c r="X203" s="8"/>
      <c r="Y203" s="10"/>
      <c r="Z203" s="8"/>
      <c r="AA203" s="10"/>
      <c r="AB203" s="223" t="str">
        <f>IF(ISERROR(VLOOKUP(M203,データ!$A$3:$C$23,2,FALSE)),"",VLOOKUP(M203,データ!$A$3:$C$23,2,FALSE))</f>
        <v/>
      </c>
      <c r="AC203" s="157"/>
    </row>
    <row r="204" spans="1:30" customFormat="1" ht="27.75" customHeight="1" thickBot="1">
      <c r="H204" s="257"/>
      <c r="I204" s="52"/>
      <c r="J204" s="52"/>
      <c r="K204" s="53"/>
      <c r="L204" s="28" t="str">
        <f t="shared" si="212"/>
        <v/>
      </c>
      <c r="M204" s="58"/>
      <c r="N204" s="59"/>
      <c r="O204" s="42" t="s">
        <v>5</v>
      </c>
      <c r="P204" s="42" t="s">
        <v>6</v>
      </c>
      <c r="Q204" s="49" t="s">
        <v>8</v>
      </c>
      <c r="R204" s="354" t="s">
        <v>13</v>
      </c>
      <c r="S204" s="355"/>
      <c r="T204" s="354" t="s">
        <v>14</v>
      </c>
      <c r="U204" s="355"/>
      <c r="V204" s="354" t="s">
        <v>9</v>
      </c>
      <c r="W204" s="355"/>
      <c r="X204" s="354" t="s">
        <v>10</v>
      </c>
      <c r="Y204" s="355"/>
      <c r="Z204" s="354" t="s">
        <v>1</v>
      </c>
      <c r="AA204" s="355"/>
      <c r="AB204" s="38" t="s">
        <v>114</v>
      </c>
      <c r="AC204" s="38" t="s">
        <v>35</v>
      </c>
      <c r="AD204" s="38" t="s">
        <v>116</v>
      </c>
    </row>
    <row r="205" spans="1:30">
      <c r="A205" s="1">
        <f>IF(AND(M205&gt;=VLOOKUP(M205,データ!$K$3:$O$6,1,TRUE),M205&lt;=VLOOKUP(M205,データ!$K$3:$O$6,2,TRUE)),VLOOKUP(M205,データ!$K$3:$O$6,5,TRUE),"")</f>
        <v>1</v>
      </c>
      <c r="B205" s="74">
        <f>IF(AND(M205&gt;=VLOOKUP(M205,データ!$K$3:$O$6,1,TRUE),M205&lt;=VLOOKUP(M205,データ!$K$3:$O$6,2,TRUE)),VLOOKUP(M205,データ!$K$3:$O$6,3,TRUE),"")</f>
        <v>0.41666666666666669</v>
      </c>
      <c r="C205" s="1">
        <f>IF(AND(M205&gt;=VLOOKUP(M205,データ!$K$11:$O$16,1,TRUE),M205&lt;=VLOOKUP(M205,データ!$K$11:$O$16,2,TRUE)),VLOOKUP(M205,データ!$K$11:$O$16,5,TRUE),0)</f>
        <v>0</v>
      </c>
      <c r="D205" s="74" t="str">
        <f>IF(AND(M205&gt;=VLOOKUP(M205,データ!$K$11:$O$16,1,TRUE),M205&lt;=VLOOKUP(M205,データ!$K$11:$O$16,2,TRUE)),VLOOKUP(M205,データ!$K$11:$O$16,3,TRUE),"")</f>
        <v/>
      </c>
      <c r="E205" s="74">
        <f t="shared" ref="E205:E235" si="213">IF(C205=2,IF(OR(N205="土",N205="日"),D205,B205),IF(C205=1,D205,B205))</f>
        <v>0.41666666666666669</v>
      </c>
      <c r="F205" s="75">
        <f>VLOOKUP(E205,データ!$K$20:$O$24,5,FALSE)</f>
        <v>0</v>
      </c>
      <c r="G205" s="74">
        <f>IF(AND(M205&gt;=VLOOKUP(M205,データ!$K$3:$O$6,1,TRUE),M205&lt;=VLOOKUP(M205,データ!$K$3:$O$6,2,TRUE)),VLOOKUP(M205,データ!$K$3:$O$6,4,TRUE),"")</f>
        <v>0.70833333333333337</v>
      </c>
      <c r="H205" s="256">
        <f>INDEX(データ!L$21:N$24,MATCH(配置表!E205,データ!K$21:K$24,0),MATCH(配置表!G205,データ!L$20:N$20,0))</f>
        <v>1</v>
      </c>
      <c r="I205" s="52" t="str">
        <f>IF(ISERROR(VLOOKUP(M205,データ!$A$3:$C$20,3,FALSE)),"",VLOOKUP(M205,データ!$A$3:$C$20,3,FALSE))</f>
        <v/>
      </c>
      <c r="J205" s="52" t="str">
        <f t="shared" ref="J205:J235" si="214">IF(N205="月",1,"")</f>
        <v/>
      </c>
      <c r="K205" s="53">
        <f>IF(K201=2,IF(I205=1,2,1),IF(I205=1,IF(J205=1,2,0),IF(J205=1,1,0)))</f>
        <v>0</v>
      </c>
      <c r="L205" s="28" t="str">
        <f t="shared" ref="L205:L235" si="215">IF(AND(O205="",P205=""),"閉",IF(K205=1,"閉",""))</f>
        <v/>
      </c>
      <c r="M205" s="25">
        <f>M201+1</f>
        <v>45931</v>
      </c>
      <c r="N205" s="24" t="str">
        <f t="shared" ref="N205:N235" si="216">TEXT(WEEKDAY(M205,1),"aaa")</f>
        <v>水</v>
      </c>
      <c r="O205" s="70" t="str">
        <f>IF(AND(M205&gt;=VLOOKUP(M205,データ!$E$3:$G$9,1,TRUE),M205&lt;=VLOOKUP(M205,データ!$E$3:$G$9,2,TRUE)),VLOOKUP(M205,データ!$E$3:$G$9,3,TRUE),"")</f>
        <v>秋　特別展</v>
      </c>
      <c r="P205" s="70" t="str">
        <f>IF(AND(M205&gt;=VLOOKUP(M205,データ!$E$14:$G$21,1,TRUE),M205&lt;=VLOOKUP(M205,データ!$E$14:$G$21,2,TRUE)),VLOOKUP(M205,データ!$E$14:$G$21,3,TRUE),"")</f>
        <v>テーマ展</v>
      </c>
      <c r="Q205" s="44" t="str">
        <f t="shared" ref="Q205:Q235" si="217">IF(L205="閉","休","○")</f>
        <v>○</v>
      </c>
      <c r="R205" s="24"/>
      <c r="S205" s="33" t="str">
        <f t="shared" ref="S205:S207" si="218">IF(H205="閉","休",IF(K205="","",IF(OR(J205="土",J205="日",E205=1),IF(OR(K205="ダミー　特別展",K205="ダミー　特別展"),"◎",IF(OR(K205="夏　特別展",K205="秋　特別展",K205="春　特別展"),"○","")),"")))</f>
        <v/>
      </c>
      <c r="T205" s="45"/>
      <c r="U205" s="33" t="str">
        <f t="shared" ref="U205:U209" si="219">IF(L205="閉","休",IF(S205="","●","●"))</f>
        <v>●</v>
      </c>
      <c r="V205" s="32"/>
      <c r="W205" s="33" t="str">
        <f t="shared" ref="W205:W207" si="220">IF(P205="閉","休",IF(O205="","",IF(O205="冬　特別展",IF(OR(N205="土",N205="日",M205=1),"○",""),"○")))</f>
        <v>○</v>
      </c>
      <c r="X205" s="35"/>
      <c r="Y205" s="47" t="str">
        <f t="shared" ref="Y205:Y235" si="221">IF(L205="閉","休",IF(H205=1,"○",IF(H205=2,"●","Err")))</f>
        <v>○</v>
      </c>
      <c r="Z205" s="35">
        <f>IF(L205="閉","",(IF(AND(M205&gt;=VLOOKUP(M205,データ!$E$3:$G$9,1,TRUE),M205&lt;=VLOOKUP(M205,データ!$E$3:$G$9,2,TRUE)),VLOOKUP(M205,データ!$E$3:$H$9,4,TRUE),0)+IF(AND(M205&gt;=VLOOKUP(M205,データ!$E$14:$G$21,1,TRUE),M205&lt;=VLOOKUP(M205,データ!$E$14:$G$21,2,TRUE)),VLOOKUP(M205,データ!$E$14:$H$21,4,TRUE),0)))</f>
        <v>5</v>
      </c>
      <c r="AA205" s="47" t="str">
        <f t="shared" ref="AA205:AA235" si="222">IF(L205="閉","休",IF(O205="","△",IF(H205=1,"○",IF(H205=2,"●","Err"))))</f>
        <v>○</v>
      </c>
      <c r="AB205" s="232">
        <f t="shared" ref="AB205:AB235" si="223">IF(K205=1,"",E205)</f>
        <v>0.41666666666666669</v>
      </c>
      <c r="AC205" s="232">
        <f t="shared" ref="AC205:AC235" si="224">IF(K205=1,"",G205)</f>
        <v>0.70833333333333337</v>
      </c>
      <c r="AD205" s="226" t="str">
        <f>IF(K205=1,IF(ISERROR(VLOOKUP(M205,データ!$A$3:$C$23,2,FALSE)),"",VLOOKUP(M205,データ!$A$3:$C$23,2,FALSE)),(IF(ISERROR(VLOOKUP(M205,データ!$A$3:$C$23,2,FALSE)),"",VLOOKUP(M205,データ!$A$3:$C$23,2,FALSE))))</f>
        <v/>
      </c>
    </row>
    <row r="206" spans="1:30">
      <c r="A206" s="1">
        <f>IF(AND(M206&gt;=VLOOKUP(M206,データ!$K$3:$O$6,1,TRUE),M206&lt;=VLOOKUP(M206,データ!$K$3:$O$6,2,TRUE)),VLOOKUP(M206,データ!$K$3:$O$6,5,TRUE),"")</f>
        <v>1</v>
      </c>
      <c r="B206" s="74">
        <f>IF(AND(M206&gt;=VLOOKUP(M206,データ!$K$3:$O$6,1,TRUE),M206&lt;=VLOOKUP(M206,データ!$K$3:$O$6,2,TRUE)),VLOOKUP(M206,データ!$K$3:$O$6,3,TRUE),"")</f>
        <v>0.41666666666666669</v>
      </c>
      <c r="C206" s="1">
        <f>IF(AND(M206&gt;=VLOOKUP(M206,データ!$K$11:$O$16,1,TRUE),M206&lt;=VLOOKUP(M206,データ!$K$11:$O$16,2,TRUE)),VLOOKUP(M206,データ!$K$11:$O$16,5,TRUE),0)</f>
        <v>0</v>
      </c>
      <c r="D206" s="74" t="str">
        <f>IF(AND(M206&gt;=VLOOKUP(M206,データ!$K$11:$O$16,1,TRUE),M206&lt;=VLOOKUP(M206,データ!$K$11:$O$16,2,TRUE)),VLOOKUP(M206,データ!$K$11:$O$16,3,TRUE),"")</f>
        <v/>
      </c>
      <c r="E206" s="74">
        <f t="shared" si="213"/>
        <v>0.41666666666666669</v>
      </c>
      <c r="F206" s="75">
        <f>VLOOKUP(E206,データ!$K$20:$O$24,5,FALSE)</f>
        <v>0</v>
      </c>
      <c r="G206" s="74">
        <f>IF(AND(M206&gt;=VLOOKUP(M206,データ!$K$3:$O$6,1,TRUE),M206&lt;=VLOOKUP(M206,データ!$K$3:$O$6,2,TRUE)),VLOOKUP(M206,データ!$K$3:$O$6,4,TRUE),"")</f>
        <v>0.70833333333333337</v>
      </c>
      <c r="H206" s="256">
        <f>INDEX(データ!L$21:N$24,MATCH(配置表!E206,データ!K$21:K$24,0),MATCH(配置表!G206,データ!L$20:N$20,0))</f>
        <v>1</v>
      </c>
      <c r="I206" s="52" t="str">
        <f>IF(ISERROR(VLOOKUP(M206,データ!$A$3:$C$20,3,FALSE)),"",VLOOKUP(M206,データ!$A$3:$C$20,3,FALSE))</f>
        <v/>
      </c>
      <c r="J206" s="52" t="str">
        <f t="shared" si="214"/>
        <v/>
      </c>
      <c r="K206" s="53">
        <f>IF(K205=2,IF(I206=1,2,1),IF(I206=1,IF(J206=1,2,0),IF(J206=1,1,0)))</f>
        <v>0</v>
      </c>
      <c r="L206" s="28" t="str">
        <f t="shared" si="215"/>
        <v/>
      </c>
      <c r="M206" s="9">
        <f>M205+1</f>
        <v>45932</v>
      </c>
      <c r="N206" s="10" t="str">
        <f t="shared" si="216"/>
        <v>木</v>
      </c>
      <c r="O206" s="63" t="str">
        <f>IF(AND(M206&gt;=VLOOKUP(M206,データ!$E$3:$G$9,1,TRUE),M206&lt;=VLOOKUP(M206,データ!$E$3:$G$9,2,TRUE)),VLOOKUP(M206,データ!$E$3:$G$9,3,TRUE),"")</f>
        <v>秋　特別展</v>
      </c>
      <c r="P206" s="63" t="str">
        <f>IF(AND(M206&gt;=VLOOKUP(M206,データ!$E$14:$G$21,1,TRUE),M206&lt;=VLOOKUP(M206,データ!$E$14:$G$21,2,TRUE)),VLOOKUP(M206,データ!$E$14:$G$21,3,TRUE),"")</f>
        <v>テーマ展</v>
      </c>
      <c r="Q206" s="44" t="str">
        <f t="shared" si="217"/>
        <v>○</v>
      </c>
      <c r="R206" s="10"/>
      <c r="S206" s="33" t="str">
        <f t="shared" si="218"/>
        <v/>
      </c>
      <c r="T206" s="45"/>
      <c r="U206" s="33" t="str">
        <f t="shared" si="219"/>
        <v>●</v>
      </c>
      <c r="V206" s="32"/>
      <c r="W206" s="33" t="str">
        <f t="shared" si="220"/>
        <v>○</v>
      </c>
      <c r="X206" s="32"/>
      <c r="Y206" s="33" t="str">
        <f t="shared" si="221"/>
        <v>○</v>
      </c>
      <c r="Z206" s="32">
        <f>IF(L206="閉","",(IF(AND(M206&gt;=VLOOKUP(M206,データ!$E$3:$G$9,1,TRUE),M206&lt;=VLOOKUP(M206,データ!$E$3:$G$9,2,TRUE)),VLOOKUP(M206,データ!$E$3:$H$9,4,TRUE),0)+IF(AND(M206&gt;=VLOOKUP(M206,データ!$E$14:$G$21,1,TRUE),M206&lt;=VLOOKUP(M206,データ!$E$14:$G$21,2,TRUE)),VLOOKUP(M206,データ!$E$14:$H$21,4,TRUE),0)))</f>
        <v>5</v>
      </c>
      <c r="AA206" s="33" t="str">
        <f t="shared" si="222"/>
        <v>○</v>
      </c>
      <c r="AB206" s="227">
        <f t="shared" si="223"/>
        <v>0.41666666666666669</v>
      </c>
      <c r="AC206" s="227">
        <f t="shared" si="224"/>
        <v>0.70833333333333337</v>
      </c>
      <c r="AD206" s="228" t="str">
        <f>IF(K206=1,IF(ISERROR(VLOOKUP(M206,データ!$A$3:$C$23,2,FALSE)),"",VLOOKUP(M206,データ!$A$3:$C$23,2,FALSE)),(IF(ISERROR(VLOOKUP(M206,データ!$A$3:$C$23,2,FALSE)),"",VLOOKUP(M206,データ!$A$3:$C$23,2,FALSE))))</f>
        <v/>
      </c>
    </row>
    <row r="207" spans="1:30">
      <c r="A207" s="1">
        <f>IF(AND(M207&gt;=VLOOKUP(M207,データ!$K$3:$O$6,1,TRUE),M207&lt;=VLOOKUP(M207,データ!$K$3:$O$6,2,TRUE)),VLOOKUP(M207,データ!$K$3:$O$6,5,TRUE),"")</f>
        <v>1</v>
      </c>
      <c r="B207" s="74">
        <f>IF(AND(M207&gt;=VLOOKUP(M207,データ!$K$3:$O$6,1,TRUE),M207&lt;=VLOOKUP(M207,データ!$K$3:$O$6,2,TRUE)),VLOOKUP(M207,データ!$K$3:$O$6,3,TRUE),"")</f>
        <v>0.41666666666666669</v>
      </c>
      <c r="C207" s="1">
        <f>IF(AND(M207&gt;=VLOOKUP(M207,データ!$K$11:$O$16,1,TRUE),M207&lt;=VLOOKUP(M207,データ!$K$11:$O$16,2,TRUE)),VLOOKUP(M207,データ!$K$11:$O$16,5,TRUE),0)</f>
        <v>0</v>
      </c>
      <c r="D207" s="74" t="str">
        <f>IF(AND(M207&gt;=VLOOKUP(M207,データ!$K$11:$O$16,1,TRUE),M207&lt;=VLOOKUP(M207,データ!$K$11:$O$16,2,TRUE)),VLOOKUP(M207,データ!$K$11:$O$16,3,TRUE),"")</f>
        <v/>
      </c>
      <c r="E207" s="74">
        <f t="shared" si="213"/>
        <v>0.41666666666666669</v>
      </c>
      <c r="F207" s="75">
        <f>VLOOKUP(E207,データ!$K$20:$O$24,5,FALSE)</f>
        <v>0</v>
      </c>
      <c r="G207" s="74">
        <f>IF(AND(M207&gt;=VLOOKUP(M207,データ!$K$3:$O$6,1,TRUE),M207&lt;=VLOOKUP(M207,データ!$K$3:$O$6,2,TRUE)),VLOOKUP(M207,データ!$K$3:$O$6,4,TRUE),"")</f>
        <v>0.70833333333333337</v>
      </c>
      <c r="H207" s="256">
        <f>INDEX(データ!L$21:N$24,MATCH(配置表!E207,データ!K$21:K$24,0),MATCH(配置表!G207,データ!L$20:N$20,0))</f>
        <v>1</v>
      </c>
      <c r="I207" s="52" t="str">
        <f>IF(ISERROR(VLOOKUP(M207,データ!$A$3:$C$20,3,FALSE)),"",VLOOKUP(M207,データ!$A$3:$C$20,3,FALSE))</f>
        <v/>
      </c>
      <c r="J207" s="52" t="str">
        <f t="shared" si="214"/>
        <v/>
      </c>
      <c r="K207" s="53">
        <f t="shared" ref="K207:K235" si="225">IF(K206=2,IF(I207=1,2,1),IF(I207=1,IF(J207=1,2,0),IF(J207=1,1,0)))</f>
        <v>0</v>
      </c>
      <c r="L207" s="28" t="str">
        <f t="shared" si="215"/>
        <v/>
      </c>
      <c r="M207" s="9">
        <f t="shared" ref="M207:M235" si="226">M206+1</f>
        <v>45933</v>
      </c>
      <c r="N207" s="10" t="str">
        <f t="shared" si="216"/>
        <v>金</v>
      </c>
      <c r="O207" s="63" t="str">
        <f>IF(AND(M207&gt;=VLOOKUP(M207,データ!$E$3:$G$9,1,TRUE),M207&lt;=VLOOKUP(M207,データ!$E$3:$G$9,2,TRUE)),VLOOKUP(M207,データ!$E$3:$G$9,3,TRUE),"")</f>
        <v>秋　特別展</v>
      </c>
      <c r="P207" s="63" t="str">
        <f>IF(AND(M207&gt;=VLOOKUP(M207,データ!$E$14:$G$21,1,TRUE),M207&lt;=VLOOKUP(M207,データ!$E$14:$G$21,2,TRUE)),VLOOKUP(M207,データ!$E$14:$G$21,3,TRUE),"")</f>
        <v>テーマ展</v>
      </c>
      <c r="Q207" s="44" t="str">
        <f t="shared" si="217"/>
        <v>○</v>
      </c>
      <c r="R207" s="10"/>
      <c r="S207" s="33" t="str">
        <f t="shared" si="218"/>
        <v/>
      </c>
      <c r="T207" s="45"/>
      <c r="U207" s="33" t="str">
        <f t="shared" si="219"/>
        <v>●</v>
      </c>
      <c r="V207" s="32"/>
      <c r="W207" s="33" t="str">
        <f t="shared" si="220"/>
        <v>○</v>
      </c>
      <c r="X207" s="32"/>
      <c r="Y207" s="33" t="str">
        <f t="shared" si="221"/>
        <v>○</v>
      </c>
      <c r="Z207" s="32">
        <f>IF(L207="閉","",(IF(AND(M207&gt;=VLOOKUP(M207,データ!$E$3:$G$9,1,TRUE),M207&lt;=VLOOKUP(M207,データ!$E$3:$G$9,2,TRUE)),VLOOKUP(M207,データ!$E$3:$H$9,4,TRUE),0)+IF(AND(M207&gt;=VLOOKUP(M207,データ!$E$14:$G$21,1,TRUE),M207&lt;=VLOOKUP(M207,データ!$E$14:$G$21,2,TRUE)),VLOOKUP(M207,データ!$E$14:$H$21,4,TRUE),0)))</f>
        <v>5</v>
      </c>
      <c r="AA207" s="33" t="str">
        <f t="shared" si="222"/>
        <v>○</v>
      </c>
      <c r="AB207" s="227">
        <f t="shared" si="223"/>
        <v>0.41666666666666669</v>
      </c>
      <c r="AC207" s="227">
        <f t="shared" si="224"/>
        <v>0.70833333333333337</v>
      </c>
      <c r="AD207" s="228" t="str">
        <f>IF(K207=1,IF(ISERROR(VLOOKUP(M207,データ!$A$3:$C$23,2,FALSE)),"",VLOOKUP(M207,データ!$A$3:$C$23,2,FALSE)),(IF(ISERROR(VLOOKUP(M207,データ!$A$3:$C$23,2,FALSE)),"",VLOOKUP(M207,データ!$A$3:$C$23,2,FALSE))))</f>
        <v/>
      </c>
    </row>
    <row r="208" spans="1:30">
      <c r="A208" s="1">
        <f>IF(AND(M208&gt;=VLOOKUP(M208,データ!$K$3:$O$6,1,TRUE),M208&lt;=VLOOKUP(M208,データ!$K$3:$O$6,2,TRUE)),VLOOKUP(M208,データ!$K$3:$O$6,5,TRUE),"")</f>
        <v>1</v>
      </c>
      <c r="B208" s="74">
        <f>IF(AND(M208&gt;=VLOOKUP(M208,データ!$K$3:$O$6,1,TRUE),M208&lt;=VLOOKUP(M208,データ!$K$3:$O$6,2,TRUE)),VLOOKUP(M208,データ!$K$3:$O$6,3,TRUE),"")</f>
        <v>0.41666666666666669</v>
      </c>
      <c r="C208" s="1">
        <f>IF(AND(M208&gt;=VLOOKUP(M208,データ!$K$11:$O$16,1,TRUE),M208&lt;=VLOOKUP(M208,データ!$K$11:$O$16,2,TRUE)),VLOOKUP(M208,データ!$K$11:$O$16,5,TRUE),0)</f>
        <v>0</v>
      </c>
      <c r="D208" s="74" t="str">
        <f>IF(AND(M208&gt;=VLOOKUP(M208,データ!$K$11:$O$16,1,TRUE),M208&lt;=VLOOKUP(M208,データ!$K$11:$O$16,2,TRUE)),VLOOKUP(M208,データ!$K$11:$O$16,3,TRUE),"")</f>
        <v/>
      </c>
      <c r="E208" s="74">
        <f t="shared" si="213"/>
        <v>0.41666666666666669</v>
      </c>
      <c r="F208" s="75">
        <f>VLOOKUP(E208,データ!$K$20:$O$24,5,FALSE)</f>
        <v>0</v>
      </c>
      <c r="G208" s="74">
        <f>IF(AND(M208&gt;=VLOOKUP(M208,データ!$K$3:$O$6,1,TRUE),M208&lt;=VLOOKUP(M208,データ!$K$3:$O$6,2,TRUE)),VLOOKUP(M208,データ!$K$3:$O$6,4,TRUE),"")</f>
        <v>0.70833333333333337</v>
      </c>
      <c r="H208" s="256">
        <f>INDEX(データ!L$21:N$24,MATCH(配置表!E208,データ!K$21:K$24,0),MATCH(配置表!G208,データ!L$20:N$20,0))</f>
        <v>1</v>
      </c>
      <c r="I208" s="52" t="str">
        <f>IF(ISERROR(VLOOKUP(M208,データ!$A$3:$C$20,3,FALSE)),"",VLOOKUP(M208,データ!$A$3:$C$20,3,FALSE))</f>
        <v/>
      </c>
      <c r="J208" s="52" t="str">
        <f t="shared" si="214"/>
        <v/>
      </c>
      <c r="K208" s="53">
        <f t="shared" si="225"/>
        <v>0</v>
      </c>
      <c r="L208" s="28" t="str">
        <f t="shared" si="215"/>
        <v/>
      </c>
      <c r="M208" s="9">
        <f t="shared" si="226"/>
        <v>45934</v>
      </c>
      <c r="N208" s="10" t="str">
        <f t="shared" si="216"/>
        <v>土</v>
      </c>
      <c r="O208" s="63" t="str">
        <f>IF(AND(M208&gt;=VLOOKUP(M208,データ!$E$3:$G$9,1,TRUE),M208&lt;=VLOOKUP(M208,データ!$E$3:$G$9,2,TRUE)),VLOOKUP(M208,データ!$E$3:$G$9,3,TRUE),"")</f>
        <v>秋　特別展</v>
      </c>
      <c r="P208" s="63" t="str">
        <f>IF(AND(M208&gt;=VLOOKUP(M208,データ!$E$14:$G$21,1,TRUE),M208&lt;=VLOOKUP(M208,データ!$E$14:$G$21,2,TRUE)),VLOOKUP(M208,データ!$E$14:$G$21,3,TRUE),"")</f>
        <v>テーマ展</v>
      </c>
      <c r="Q208" s="44" t="str">
        <f t="shared" si="217"/>
        <v>○</v>
      </c>
      <c r="R208" s="10"/>
      <c r="S208" s="10" t="str">
        <f t="shared" ref="S208:S209" si="227">IF(L208="閉","休",IF(O208="","",IF(O208="冬　特別展",IF(OR(N208="土",N208="日",I208=1),"○",""),"○")))</f>
        <v>○</v>
      </c>
      <c r="T208" s="45"/>
      <c r="U208" s="33" t="str">
        <f t="shared" si="219"/>
        <v>●</v>
      </c>
      <c r="V208" s="32"/>
      <c r="W208" s="33" t="str">
        <f t="shared" ref="W208:W209" si="228">IF(L208="閉","休",IF(O208="","",IF(OR(N208="土",N208="日",I208=1),IF(OR(O208="ダミー　特別展",O208="ダミー　特別展"),"◎",IF(OR(O208="夏　特別展",O208="秋　特別展",O208="春　特別展"),"◎","")),"")))</f>
        <v>◎</v>
      </c>
      <c r="X208" s="32"/>
      <c r="Y208" s="33" t="str">
        <f t="shared" si="221"/>
        <v>○</v>
      </c>
      <c r="Z208" s="32">
        <f>IF(L208="閉","",(IF(AND(M208&gt;=VLOOKUP(M208,データ!$E$3:$G$9,1,TRUE),M208&lt;=VLOOKUP(M208,データ!$E$3:$G$9,2,TRUE)),VLOOKUP(M208,データ!$E$3:$H$9,4,TRUE),0)+IF(AND(M208&gt;=VLOOKUP(M208,データ!$E$14:$G$21,1,TRUE),M208&lt;=VLOOKUP(M208,データ!$E$14:$G$21,2,TRUE)),VLOOKUP(M208,データ!$E$14:$H$21,4,TRUE),0)))</f>
        <v>5</v>
      </c>
      <c r="AA208" s="33" t="str">
        <f t="shared" si="222"/>
        <v>○</v>
      </c>
      <c r="AB208" s="227">
        <f t="shared" si="223"/>
        <v>0.41666666666666669</v>
      </c>
      <c r="AC208" s="227">
        <f t="shared" si="224"/>
        <v>0.70833333333333337</v>
      </c>
      <c r="AD208" s="228" t="str">
        <f>IF(K208=1,IF(ISERROR(VLOOKUP(M208,データ!$A$3:$C$23,2,FALSE)),"",VLOOKUP(M208,データ!$A$3:$C$23,2,FALSE)),(IF(ISERROR(VLOOKUP(M208,データ!$A$3:$C$23,2,FALSE)),"",VLOOKUP(M208,データ!$A$3:$C$23,2,FALSE))))</f>
        <v/>
      </c>
    </row>
    <row r="209" spans="1:30">
      <c r="A209" s="1">
        <f>IF(AND(M209&gt;=VLOOKUP(M209,データ!$K$3:$O$6,1,TRUE),M209&lt;=VLOOKUP(M209,データ!$K$3:$O$6,2,TRUE)),VLOOKUP(M209,データ!$K$3:$O$6,5,TRUE),"")</f>
        <v>1</v>
      </c>
      <c r="B209" s="74">
        <f>IF(AND(M209&gt;=VLOOKUP(M209,データ!$K$3:$O$6,1,TRUE),M209&lt;=VLOOKUP(M209,データ!$K$3:$O$6,2,TRUE)),VLOOKUP(M209,データ!$K$3:$O$6,3,TRUE),"")</f>
        <v>0.41666666666666669</v>
      </c>
      <c r="C209" s="1">
        <f>IF(AND(M209&gt;=VLOOKUP(M209,データ!$K$11:$O$16,1,TRUE),M209&lt;=VLOOKUP(M209,データ!$K$11:$O$16,2,TRUE)),VLOOKUP(M209,データ!$K$11:$O$16,5,TRUE),0)</f>
        <v>0</v>
      </c>
      <c r="D209" s="74" t="str">
        <f>IF(AND(M209&gt;=VLOOKUP(M209,データ!$K$11:$O$16,1,TRUE),M209&lt;=VLOOKUP(M209,データ!$K$11:$O$16,2,TRUE)),VLOOKUP(M209,データ!$K$11:$O$16,3,TRUE),"")</f>
        <v/>
      </c>
      <c r="E209" s="74">
        <f t="shared" si="213"/>
        <v>0.41666666666666669</v>
      </c>
      <c r="F209" s="75">
        <f>VLOOKUP(E209,データ!$K$20:$O$24,5,FALSE)</f>
        <v>0</v>
      </c>
      <c r="G209" s="74">
        <f>IF(AND(M209&gt;=VLOOKUP(M209,データ!$K$3:$O$6,1,TRUE),M209&lt;=VLOOKUP(M209,データ!$K$3:$O$6,2,TRUE)),VLOOKUP(M209,データ!$K$3:$O$6,4,TRUE),"")</f>
        <v>0.70833333333333337</v>
      </c>
      <c r="H209" s="256">
        <f>INDEX(データ!L$21:N$24,MATCH(配置表!E209,データ!K$21:K$24,0),MATCH(配置表!G209,データ!L$20:N$20,0))</f>
        <v>1</v>
      </c>
      <c r="I209" s="52" t="str">
        <f>IF(ISERROR(VLOOKUP(M209,データ!$A$3:$C$20,3,FALSE)),"",VLOOKUP(M209,データ!$A$3:$C$20,3,FALSE))</f>
        <v/>
      </c>
      <c r="J209" s="52" t="str">
        <f t="shared" si="214"/>
        <v/>
      </c>
      <c r="K209" s="53">
        <f t="shared" si="225"/>
        <v>0</v>
      </c>
      <c r="L209" s="28" t="str">
        <f t="shared" si="215"/>
        <v/>
      </c>
      <c r="M209" s="9">
        <f t="shared" si="226"/>
        <v>45935</v>
      </c>
      <c r="N209" s="10" t="str">
        <f t="shared" si="216"/>
        <v>日</v>
      </c>
      <c r="O209" s="63" t="str">
        <f>IF(AND(M209&gt;=VLOOKUP(M209,データ!$E$3:$G$9,1,TRUE),M209&lt;=VLOOKUP(M209,データ!$E$3:$G$9,2,TRUE)),VLOOKUP(M209,データ!$E$3:$G$9,3,TRUE),"")</f>
        <v>秋　特別展</v>
      </c>
      <c r="P209" s="63" t="str">
        <f>IF(AND(M209&gt;=VLOOKUP(M209,データ!$E$14:$G$21,1,TRUE),M209&lt;=VLOOKUP(M209,データ!$E$14:$G$21,2,TRUE)),VLOOKUP(M209,データ!$E$14:$G$21,3,TRUE),"")</f>
        <v>テーマ展</v>
      </c>
      <c r="Q209" s="44" t="str">
        <f t="shared" si="217"/>
        <v>○</v>
      </c>
      <c r="R209" s="10"/>
      <c r="S209" s="10" t="str">
        <f t="shared" si="227"/>
        <v>○</v>
      </c>
      <c r="T209" s="45"/>
      <c r="U209" s="33" t="str">
        <f t="shared" si="219"/>
        <v>●</v>
      </c>
      <c r="V209" s="32"/>
      <c r="W209" s="33" t="str">
        <f t="shared" si="228"/>
        <v>◎</v>
      </c>
      <c r="X209" s="32"/>
      <c r="Y209" s="33" t="str">
        <f t="shared" si="221"/>
        <v>○</v>
      </c>
      <c r="Z209" s="32">
        <f>IF(L209="閉","",(IF(AND(M209&gt;=VLOOKUP(M209,データ!$E$3:$G$9,1,TRUE),M209&lt;=VLOOKUP(M209,データ!$E$3:$G$9,2,TRUE)),VLOOKUP(M209,データ!$E$3:$H$9,4,TRUE),0)+IF(AND(M209&gt;=VLOOKUP(M209,データ!$E$14:$G$21,1,TRUE),M209&lt;=VLOOKUP(M209,データ!$E$14:$G$21,2,TRUE)),VLOOKUP(M209,データ!$E$14:$H$21,4,TRUE),0)))</f>
        <v>5</v>
      </c>
      <c r="AA209" s="33" t="str">
        <f t="shared" si="222"/>
        <v>○</v>
      </c>
      <c r="AB209" s="227">
        <f t="shared" si="223"/>
        <v>0.41666666666666669</v>
      </c>
      <c r="AC209" s="227">
        <f t="shared" si="224"/>
        <v>0.70833333333333337</v>
      </c>
      <c r="AD209" s="228" t="str">
        <f>IF(K209=1,IF(ISERROR(VLOOKUP(M209,データ!$A$3:$C$23,2,FALSE)),"",VLOOKUP(M209,データ!$A$3:$C$23,2,FALSE)),(IF(ISERROR(VLOOKUP(M209,データ!$A$3:$C$23,2,FALSE)),"",VLOOKUP(M209,データ!$A$3:$C$23,2,FALSE))))</f>
        <v/>
      </c>
    </row>
    <row r="210" spans="1:30">
      <c r="A210" s="1">
        <f>IF(AND(M210&gt;=VLOOKUP(M210,データ!$K$3:$O$6,1,TRUE),M210&lt;=VLOOKUP(M210,データ!$K$3:$O$6,2,TRUE)),VLOOKUP(M210,データ!$K$3:$O$6,5,TRUE),"")</f>
        <v>1</v>
      </c>
      <c r="B210" s="74">
        <f>IF(AND(M210&gt;=VLOOKUP(M210,データ!$K$3:$O$6,1,TRUE),M210&lt;=VLOOKUP(M210,データ!$K$3:$O$6,2,TRUE)),VLOOKUP(M210,データ!$K$3:$O$6,3,TRUE),"")</f>
        <v>0.41666666666666669</v>
      </c>
      <c r="C210" s="1">
        <f>IF(AND(M210&gt;=VLOOKUP(M210,データ!$K$11:$O$16,1,TRUE),M210&lt;=VLOOKUP(M210,データ!$K$11:$O$16,2,TRUE)),VLOOKUP(M210,データ!$K$11:$O$16,5,TRUE),0)</f>
        <v>0</v>
      </c>
      <c r="D210" s="74" t="str">
        <f>IF(AND(M210&gt;=VLOOKUP(M210,データ!$K$11:$O$16,1,TRUE),M210&lt;=VLOOKUP(M210,データ!$K$11:$O$16,2,TRUE)),VLOOKUP(M210,データ!$K$11:$O$16,3,TRUE),"")</f>
        <v/>
      </c>
      <c r="E210" s="74">
        <f t="shared" si="213"/>
        <v>0.41666666666666669</v>
      </c>
      <c r="F210" s="75">
        <f>VLOOKUP(E210,データ!$K$20:$O$24,5,FALSE)</f>
        <v>0</v>
      </c>
      <c r="G210" s="74">
        <f>IF(AND(M210&gt;=VLOOKUP(M210,データ!$K$3:$O$6,1,TRUE),M210&lt;=VLOOKUP(M210,データ!$K$3:$O$6,2,TRUE)),VLOOKUP(M210,データ!$K$3:$O$6,4,TRUE),"")</f>
        <v>0.70833333333333337</v>
      </c>
      <c r="H210" s="256">
        <f>INDEX(データ!L$21:N$24,MATCH(配置表!E210,データ!K$21:K$24,0),MATCH(配置表!G210,データ!L$20:N$20,0))</f>
        <v>1</v>
      </c>
      <c r="I210" s="52" t="str">
        <f>IF(ISERROR(VLOOKUP(M210,データ!$A$3:$C$20,3,FALSE)),"",VLOOKUP(M210,データ!$A$3:$C$20,3,FALSE))</f>
        <v/>
      </c>
      <c r="J210" s="52">
        <f t="shared" si="214"/>
        <v>1</v>
      </c>
      <c r="K210" s="53">
        <f t="shared" si="225"/>
        <v>1</v>
      </c>
      <c r="L210" s="28" t="str">
        <f t="shared" si="215"/>
        <v>閉</v>
      </c>
      <c r="M210" s="9">
        <f t="shared" si="226"/>
        <v>45936</v>
      </c>
      <c r="N210" s="10" t="str">
        <f t="shared" si="216"/>
        <v>月</v>
      </c>
      <c r="O210" s="63" t="str">
        <f>IF(AND(M210&gt;=VLOOKUP(M210,データ!$E$3:$G$9,1,TRUE),M210&lt;=VLOOKUP(M210,データ!$E$3:$G$9,2,TRUE)),VLOOKUP(M210,データ!$E$3:$G$9,3,TRUE),"")</f>
        <v>秋　特別展</v>
      </c>
      <c r="P210" s="63" t="str">
        <f>IF(AND(M210&gt;=VLOOKUP(M210,データ!$E$14:$G$21,1,TRUE),M210&lt;=VLOOKUP(M210,データ!$E$14:$G$21,2,TRUE)),VLOOKUP(M210,データ!$E$14:$G$21,3,TRUE),"")</f>
        <v>テーマ展</v>
      </c>
      <c r="Q210" s="44" t="str">
        <f t="shared" si="217"/>
        <v>休</v>
      </c>
      <c r="R210" s="32"/>
      <c r="S210" s="10" t="str">
        <f t="shared" ref="S210:S231" si="229">IF(L210="閉","休",IF(O210="","",IF(O210="冬　特別展",IF(OR(N210="土",N210="日",I210=1),"○",""),"○")))</f>
        <v>休</v>
      </c>
      <c r="T210" s="32"/>
      <c r="U210" s="33" t="str">
        <f t="shared" ref="U210:U231" si="230">IF(L210="閉","休",IF(S210="","●","●"))</f>
        <v>休</v>
      </c>
      <c r="V210" s="32"/>
      <c r="W210" s="33" t="str">
        <f t="shared" ref="W210:W231" si="231">IF(L210="閉","休",IF(O210="","",IF(OR(N210="土",N210="日",I210=1),IF(OR(O210="ダミー　特別展",O210="ダミー　特別展"),"◎",IF(OR(O210="夏　特別展",O210="秋　特別展",O210="春　特別展"),"○","")),"")))</f>
        <v>休</v>
      </c>
      <c r="X210" s="32"/>
      <c r="Y210" s="33" t="str">
        <f t="shared" si="221"/>
        <v>休</v>
      </c>
      <c r="Z210" s="32" t="str">
        <f>IF(L210="閉","",(IF(AND(M210&gt;=VLOOKUP(M210,データ!$E$3:$G$9,1,TRUE),M210&lt;=VLOOKUP(M210,データ!$E$3:$G$9,2,TRUE)),VLOOKUP(M210,データ!$E$3:$H$9,4,TRUE),0)+IF(AND(M210&gt;=VLOOKUP(M210,データ!$E$14:$G$21,1,TRUE),M210&lt;=VLOOKUP(M210,データ!$E$14:$G$21,2,TRUE)),VLOOKUP(M210,データ!$E$14:$H$21,4,TRUE),0)))</f>
        <v/>
      </c>
      <c r="AA210" s="33" t="str">
        <f t="shared" si="222"/>
        <v>休</v>
      </c>
      <c r="AB210" s="227" t="str">
        <f t="shared" si="223"/>
        <v/>
      </c>
      <c r="AC210" s="227" t="str">
        <f t="shared" si="224"/>
        <v/>
      </c>
      <c r="AD210" s="228" t="str">
        <f>IF(K210=1,IF(ISERROR(VLOOKUP(M210,データ!$A$3:$C$23,2,FALSE)),"",VLOOKUP(M210,データ!$A$3:$C$23,2,FALSE)),(IF(ISERROR(VLOOKUP(M210,データ!$A$3:$C$23,2,FALSE)),"",VLOOKUP(M210,データ!$A$3:$C$23,2,FALSE))))</f>
        <v/>
      </c>
    </row>
    <row r="211" spans="1:30">
      <c r="A211" s="1">
        <f>IF(AND(M211&gt;=VLOOKUP(M211,データ!$K$3:$O$6,1,TRUE),M211&lt;=VLOOKUP(M211,データ!$K$3:$O$6,2,TRUE)),VLOOKUP(M211,データ!$K$3:$O$6,5,TRUE),"")</f>
        <v>1</v>
      </c>
      <c r="B211" s="74">
        <f>IF(AND(M211&gt;=VLOOKUP(M211,データ!$K$3:$O$6,1,TRUE),M211&lt;=VLOOKUP(M211,データ!$K$3:$O$6,2,TRUE)),VLOOKUP(M211,データ!$K$3:$O$6,3,TRUE),"")</f>
        <v>0.41666666666666669</v>
      </c>
      <c r="C211" s="1">
        <f>IF(AND(M211&gt;=VLOOKUP(M211,データ!$K$11:$O$16,1,TRUE),M211&lt;=VLOOKUP(M211,データ!$K$11:$O$16,2,TRUE)),VLOOKUP(M211,データ!$K$11:$O$16,5,TRUE),0)</f>
        <v>0</v>
      </c>
      <c r="D211" s="74" t="str">
        <f>IF(AND(M211&gt;=VLOOKUP(M211,データ!$K$11:$O$16,1,TRUE),M211&lt;=VLOOKUP(M211,データ!$K$11:$O$16,2,TRUE)),VLOOKUP(M211,データ!$K$11:$O$16,3,TRUE),"")</f>
        <v/>
      </c>
      <c r="E211" s="74">
        <f t="shared" si="213"/>
        <v>0.41666666666666669</v>
      </c>
      <c r="F211" s="75">
        <f>VLOOKUP(E211,データ!$K$20:$O$24,5,FALSE)</f>
        <v>0</v>
      </c>
      <c r="G211" s="74">
        <f>IF(AND(M211&gt;=VLOOKUP(M211,データ!$K$3:$O$6,1,TRUE),M211&lt;=VLOOKUP(M211,データ!$K$3:$O$6,2,TRUE)),VLOOKUP(M211,データ!$K$3:$O$6,4,TRUE),"")</f>
        <v>0.70833333333333337</v>
      </c>
      <c r="H211" s="256">
        <f>INDEX(データ!L$21:N$24,MATCH(配置表!E211,データ!K$21:K$24,0),MATCH(配置表!G211,データ!L$20:N$20,0))</f>
        <v>1</v>
      </c>
      <c r="I211" s="52" t="str">
        <f>IF(ISERROR(VLOOKUP(M211,データ!$A$3:$C$20,3,FALSE)),"",VLOOKUP(M211,データ!$A$3:$C$20,3,FALSE))</f>
        <v/>
      </c>
      <c r="J211" s="52" t="str">
        <f t="shared" si="214"/>
        <v/>
      </c>
      <c r="K211" s="53">
        <f t="shared" si="225"/>
        <v>0</v>
      </c>
      <c r="L211" s="28" t="str">
        <f t="shared" si="215"/>
        <v/>
      </c>
      <c r="M211" s="9">
        <f t="shared" si="226"/>
        <v>45937</v>
      </c>
      <c r="N211" s="10" t="str">
        <f t="shared" si="216"/>
        <v>火</v>
      </c>
      <c r="O211" s="63" t="str">
        <f>IF(AND(M211&gt;=VLOOKUP(M211,データ!$E$3:$G$9,1,TRUE),M211&lt;=VLOOKUP(M211,データ!$E$3:$G$9,2,TRUE)),VLOOKUP(M211,データ!$E$3:$G$9,3,TRUE),"")</f>
        <v>秋　特別展</v>
      </c>
      <c r="P211" s="63" t="str">
        <f>IF(AND(M211&gt;=VLOOKUP(M211,データ!$E$14:$G$21,1,TRUE),M211&lt;=VLOOKUP(M211,データ!$E$14:$G$21,2,TRUE)),VLOOKUP(M211,データ!$E$14:$G$21,3,TRUE),"")</f>
        <v>テーマ展</v>
      </c>
      <c r="Q211" s="44" t="str">
        <f t="shared" si="217"/>
        <v>○</v>
      </c>
      <c r="R211" s="10"/>
      <c r="S211" s="33" t="str">
        <f t="shared" ref="S211:S214" si="232">IF(H211="閉","休",IF(K211="","",IF(OR(J211="土",J211="日",E211=1),IF(OR(K211="ダミー　特別展",K211="ダミー　特別展"),"◎",IF(OR(K211="夏　特別展",K211="秋　特別展",K211="春　特別展"),"○","")),"")))</f>
        <v/>
      </c>
      <c r="T211" s="45"/>
      <c r="U211" s="33" t="str">
        <f t="shared" si="230"/>
        <v>●</v>
      </c>
      <c r="V211" s="32"/>
      <c r="W211" s="33" t="str">
        <f t="shared" ref="W211:W214" si="233">IF(P211="閉","休",IF(O211="","",IF(O211="冬　特別展",IF(OR(N211="土",N211="日",M211=1),"○",""),"○")))</f>
        <v>○</v>
      </c>
      <c r="X211" s="32"/>
      <c r="Y211" s="33" t="str">
        <f t="shared" si="221"/>
        <v>○</v>
      </c>
      <c r="Z211" s="32">
        <f>IF(L211="閉","",(IF(AND(M211&gt;=VLOOKUP(M211,データ!$E$3:$G$9,1,TRUE),M211&lt;=VLOOKUP(M211,データ!$E$3:$G$9,2,TRUE)),VLOOKUP(M211,データ!$E$3:$H$9,4,TRUE),0)+IF(AND(M211&gt;=VLOOKUP(M211,データ!$E$14:$G$21,1,TRUE),M211&lt;=VLOOKUP(M211,データ!$E$14:$G$21,2,TRUE)),VLOOKUP(M211,データ!$E$14:$H$21,4,TRUE),0)))</f>
        <v>5</v>
      </c>
      <c r="AA211" s="33" t="str">
        <f t="shared" si="222"/>
        <v>○</v>
      </c>
      <c r="AB211" s="227">
        <f t="shared" si="223"/>
        <v>0.41666666666666669</v>
      </c>
      <c r="AC211" s="227">
        <f t="shared" si="224"/>
        <v>0.70833333333333337</v>
      </c>
      <c r="AD211" s="228" t="str">
        <f>IF(K211=1,IF(ISERROR(VLOOKUP(M211,データ!$A$3:$C$23,2,FALSE)),"",VLOOKUP(M211,データ!$A$3:$C$23,2,FALSE)),(IF(ISERROR(VLOOKUP(M211,データ!$A$3:$C$23,2,FALSE)),"",VLOOKUP(M211,データ!$A$3:$C$23,2,FALSE))))</f>
        <v/>
      </c>
    </row>
    <row r="212" spans="1:30">
      <c r="A212" s="1">
        <f>IF(AND(M212&gt;=VLOOKUP(M212,データ!$K$3:$O$6,1,TRUE),M212&lt;=VLOOKUP(M212,データ!$K$3:$O$6,2,TRUE)),VLOOKUP(M212,データ!$K$3:$O$6,5,TRUE),"")</f>
        <v>1</v>
      </c>
      <c r="B212" s="74">
        <f>IF(AND(M212&gt;=VLOOKUP(M212,データ!$K$3:$O$6,1,TRUE),M212&lt;=VLOOKUP(M212,データ!$K$3:$O$6,2,TRUE)),VLOOKUP(M212,データ!$K$3:$O$6,3,TRUE),"")</f>
        <v>0.41666666666666669</v>
      </c>
      <c r="C212" s="1">
        <f>IF(AND(M212&gt;=VLOOKUP(M212,データ!$K$11:$O$16,1,TRUE),M212&lt;=VLOOKUP(M212,データ!$K$11:$O$16,2,TRUE)),VLOOKUP(M212,データ!$K$11:$O$16,5,TRUE),0)</f>
        <v>0</v>
      </c>
      <c r="D212" s="74" t="str">
        <f>IF(AND(M212&gt;=VLOOKUP(M212,データ!$K$11:$O$16,1,TRUE),M212&lt;=VLOOKUP(M212,データ!$K$11:$O$16,2,TRUE)),VLOOKUP(M212,データ!$K$11:$O$16,3,TRUE),"")</f>
        <v/>
      </c>
      <c r="E212" s="74">
        <f t="shared" si="213"/>
        <v>0.41666666666666669</v>
      </c>
      <c r="F212" s="75">
        <f>VLOOKUP(E212,データ!$K$20:$O$24,5,FALSE)</f>
        <v>0</v>
      </c>
      <c r="G212" s="74">
        <f>IF(AND(M212&gt;=VLOOKUP(M212,データ!$K$3:$O$6,1,TRUE),M212&lt;=VLOOKUP(M212,データ!$K$3:$O$6,2,TRUE)),VLOOKUP(M212,データ!$K$3:$O$6,4,TRUE),"")</f>
        <v>0.70833333333333337</v>
      </c>
      <c r="H212" s="256">
        <f>INDEX(データ!L$21:N$24,MATCH(配置表!E212,データ!K$21:K$24,0),MATCH(配置表!G212,データ!L$20:N$20,0))</f>
        <v>1</v>
      </c>
      <c r="I212" s="52" t="str">
        <f>IF(ISERROR(VLOOKUP(M212,データ!$A$3:$C$20,3,FALSE)),"",VLOOKUP(M212,データ!$A$3:$C$20,3,FALSE))</f>
        <v/>
      </c>
      <c r="J212" s="52" t="str">
        <f t="shared" si="214"/>
        <v/>
      </c>
      <c r="K212" s="53">
        <f t="shared" si="225"/>
        <v>0</v>
      </c>
      <c r="L212" s="28" t="str">
        <f t="shared" si="215"/>
        <v/>
      </c>
      <c r="M212" s="9">
        <f t="shared" si="226"/>
        <v>45938</v>
      </c>
      <c r="N212" s="10" t="str">
        <f t="shared" si="216"/>
        <v>水</v>
      </c>
      <c r="O212" s="63" t="str">
        <f>IF(AND(M212&gt;=VLOOKUP(M212,データ!$E$3:$G$9,1,TRUE),M212&lt;=VLOOKUP(M212,データ!$E$3:$G$9,2,TRUE)),VLOOKUP(M212,データ!$E$3:$G$9,3,TRUE),"")</f>
        <v>秋　特別展</v>
      </c>
      <c r="P212" s="63" t="str">
        <f>IF(AND(M212&gt;=VLOOKUP(M212,データ!$E$14:$G$21,1,TRUE),M212&lt;=VLOOKUP(M212,データ!$E$14:$G$21,2,TRUE)),VLOOKUP(M212,データ!$E$14:$G$21,3,TRUE),"")</f>
        <v>テーマ展</v>
      </c>
      <c r="Q212" s="44" t="str">
        <f t="shared" si="217"/>
        <v>○</v>
      </c>
      <c r="R212" s="10"/>
      <c r="S212" s="33" t="str">
        <f t="shared" si="232"/>
        <v/>
      </c>
      <c r="T212" s="45"/>
      <c r="U212" s="33" t="str">
        <f t="shared" si="230"/>
        <v>●</v>
      </c>
      <c r="V212" s="32"/>
      <c r="W212" s="33" t="str">
        <f t="shared" si="233"/>
        <v>○</v>
      </c>
      <c r="X212" s="32"/>
      <c r="Y212" s="33" t="str">
        <f t="shared" si="221"/>
        <v>○</v>
      </c>
      <c r="Z212" s="32">
        <f>IF(L212="閉","",(IF(AND(M212&gt;=VLOOKUP(M212,データ!$E$3:$G$9,1,TRUE),M212&lt;=VLOOKUP(M212,データ!$E$3:$G$9,2,TRUE)),VLOOKUP(M212,データ!$E$3:$H$9,4,TRUE),0)+IF(AND(M212&gt;=VLOOKUP(M212,データ!$E$14:$G$21,1,TRUE),M212&lt;=VLOOKUP(M212,データ!$E$14:$G$21,2,TRUE)),VLOOKUP(M212,データ!$E$14:$H$21,4,TRUE),0)))</f>
        <v>5</v>
      </c>
      <c r="AA212" s="33" t="str">
        <f t="shared" si="222"/>
        <v>○</v>
      </c>
      <c r="AB212" s="227">
        <f t="shared" si="223"/>
        <v>0.41666666666666669</v>
      </c>
      <c r="AC212" s="227">
        <f t="shared" si="224"/>
        <v>0.70833333333333337</v>
      </c>
      <c r="AD212" s="228" t="str">
        <f>IF(K212=1,IF(ISERROR(VLOOKUP(M212,データ!$A$3:$C$23,2,FALSE)),"",VLOOKUP(M212,データ!$A$3:$C$23,2,FALSE)),(IF(ISERROR(VLOOKUP(M212,データ!$A$3:$C$23,2,FALSE)),"",VLOOKUP(M212,データ!$A$3:$C$23,2,FALSE))))</f>
        <v/>
      </c>
    </row>
    <row r="213" spans="1:30">
      <c r="A213" s="1">
        <f>IF(AND(M213&gt;=VLOOKUP(M213,データ!$K$3:$O$6,1,TRUE),M213&lt;=VLOOKUP(M213,データ!$K$3:$O$6,2,TRUE)),VLOOKUP(M213,データ!$K$3:$O$6,5,TRUE),"")</f>
        <v>1</v>
      </c>
      <c r="B213" s="74">
        <f>IF(AND(M213&gt;=VLOOKUP(M213,データ!$K$3:$O$6,1,TRUE),M213&lt;=VLOOKUP(M213,データ!$K$3:$O$6,2,TRUE)),VLOOKUP(M213,データ!$K$3:$O$6,3,TRUE),"")</f>
        <v>0.41666666666666669</v>
      </c>
      <c r="C213" s="1">
        <f>IF(AND(M213&gt;=VLOOKUP(M213,データ!$K$11:$O$16,1,TRUE),M213&lt;=VLOOKUP(M213,データ!$K$11:$O$16,2,TRUE)),VLOOKUP(M213,データ!$K$11:$O$16,5,TRUE),0)</f>
        <v>0</v>
      </c>
      <c r="D213" s="74" t="str">
        <f>IF(AND(M213&gt;=VLOOKUP(M213,データ!$K$11:$O$16,1,TRUE),M213&lt;=VLOOKUP(M213,データ!$K$11:$O$16,2,TRUE)),VLOOKUP(M213,データ!$K$11:$O$16,3,TRUE),"")</f>
        <v/>
      </c>
      <c r="E213" s="74">
        <f t="shared" si="213"/>
        <v>0.41666666666666669</v>
      </c>
      <c r="F213" s="75">
        <f>VLOOKUP(E213,データ!$K$20:$O$24,5,FALSE)</f>
        <v>0</v>
      </c>
      <c r="G213" s="74">
        <f>IF(AND(M213&gt;=VLOOKUP(M213,データ!$K$3:$O$6,1,TRUE),M213&lt;=VLOOKUP(M213,データ!$K$3:$O$6,2,TRUE)),VLOOKUP(M213,データ!$K$3:$O$6,4,TRUE),"")</f>
        <v>0.70833333333333337</v>
      </c>
      <c r="H213" s="256">
        <f>INDEX(データ!L$21:N$24,MATCH(配置表!E213,データ!K$21:K$24,0),MATCH(配置表!G213,データ!L$20:N$20,0))</f>
        <v>1</v>
      </c>
      <c r="I213" s="52" t="str">
        <f>IF(ISERROR(VLOOKUP(M213,データ!$A$3:$C$20,3,FALSE)),"",VLOOKUP(M213,データ!$A$3:$C$20,3,FALSE))</f>
        <v/>
      </c>
      <c r="J213" s="52" t="str">
        <f t="shared" si="214"/>
        <v/>
      </c>
      <c r="K213" s="53">
        <f t="shared" si="225"/>
        <v>0</v>
      </c>
      <c r="L213" s="28" t="str">
        <f t="shared" si="215"/>
        <v/>
      </c>
      <c r="M213" s="9">
        <f t="shared" si="226"/>
        <v>45939</v>
      </c>
      <c r="N213" s="10" t="str">
        <f t="shared" si="216"/>
        <v>木</v>
      </c>
      <c r="O213" s="63" t="str">
        <f>IF(AND(M213&gt;=VLOOKUP(M213,データ!$E$3:$G$9,1,TRUE),M213&lt;=VLOOKUP(M213,データ!$E$3:$G$9,2,TRUE)),VLOOKUP(M213,データ!$E$3:$G$9,3,TRUE),"")</f>
        <v>秋　特別展</v>
      </c>
      <c r="P213" s="63" t="str">
        <f>IF(AND(M213&gt;=VLOOKUP(M213,データ!$E$14:$G$21,1,TRUE),M213&lt;=VLOOKUP(M213,データ!$E$14:$G$21,2,TRUE)),VLOOKUP(M213,データ!$E$14:$G$21,3,TRUE),"")</f>
        <v>テーマ展</v>
      </c>
      <c r="Q213" s="44" t="str">
        <f t="shared" si="217"/>
        <v>○</v>
      </c>
      <c r="R213" s="10"/>
      <c r="S213" s="33" t="str">
        <f t="shared" si="232"/>
        <v/>
      </c>
      <c r="T213" s="45"/>
      <c r="U213" s="33" t="str">
        <f t="shared" si="230"/>
        <v>●</v>
      </c>
      <c r="V213" s="32"/>
      <c r="W213" s="33" t="str">
        <f t="shared" si="233"/>
        <v>○</v>
      </c>
      <c r="X213" s="32"/>
      <c r="Y213" s="33" t="str">
        <f t="shared" si="221"/>
        <v>○</v>
      </c>
      <c r="Z213" s="32">
        <f>IF(L213="閉","",(IF(AND(M213&gt;=VLOOKUP(M213,データ!$E$3:$G$9,1,TRUE),M213&lt;=VLOOKUP(M213,データ!$E$3:$G$9,2,TRUE)),VLOOKUP(M213,データ!$E$3:$H$9,4,TRUE),0)+IF(AND(M213&gt;=VLOOKUP(M213,データ!$E$14:$G$21,1,TRUE),M213&lt;=VLOOKUP(M213,データ!$E$14:$G$21,2,TRUE)),VLOOKUP(M213,データ!$E$14:$H$21,4,TRUE),0)))</f>
        <v>5</v>
      </c>
      <c r="AA213" s="33" t="str">
        <f t="shared" si="222"/>
        <v>○</v>
      </c>
      <c r="AB213" s="227">
        <f t="shared" si="223"/>
        <v>0.41666666666666669</v>
      </c>
      <c r="AC213" s="227">
        <f t="shared" si="224"/>
        <v>0.70833333333333337</v>
      </c>
      <c r="AD213" s="228" t="str">
        <f>IF(K213=1,IF(ISERROR(VLOOKUP(M213,データ!$A$3:$C$23,2,FALSE)),"",VLOOKUP(M213,データ!$A$3:$C$23,2,FALSE)),(IF(ISERROR(VLOOKUP(M213,データ!$A$3:$C$23,2,FALSE)),"",VLOOKUP(M213,データ!$A$3:$C$23,2,FALSE))))</f>
        <v/>
      </c>
    </row>
    <row r="214" spans="1:30">
      <c r="A214" s="1">
        <f>IF(AND(M214&gt;=VLOOKUP(M214,データ!$K$3:$O$6,1,TRUE),M214&lt;=VLOOKUP(M214,データ!$K$3:$O$6,2,TRUE)),VLOOKUP(M214,データ!$K$3:$O$6,5,TRUE),"")</f>
        <v>1</v>
      </c>
      <c r="B214" s="74">
        <f>IF(AND(M214&gt;=VLOOKUP(M214,データ!$K$3:$O$6,1,TRUE),M214&lt;=VLOOKUP(M214,データ!$K$3:$O$6,2,TRUE)),VLOOKUP(M214,データ!$K$3:$O$6,3,TRUE),"")</f>
        <v>0.41666666666666669</v>
      </c>
      <c r="C214" s="1">
        <f>IF(AND(M214&gt;=VLOOKUP(M214,データ!$K$11:$O$16,1,TRUE),M214&lt;=VLOOKUP(M214,データ!$K$11:$O$16,2,TRUE)),VLOOKUP(M214,データ!$K$11:$O$16,5,TRUE),0)</f>
        <v>0</v>
      </c>
      <c r="D214" s="74" t="str">
        <f>IF(AND(M214&gt;=VLOOKUP(M214,データ!$K$11:$O$16,1,TRUE),M214&lt;=VLOOKUP(M214,データ!$K$11:$O$16,2,TRUE)),VLOOKUP(M214,データ!$K$11:$O$16,3,TRUE),"")</f>
        <v/>
      </c>
      <c r="E214" s="74">
        <f t="shared" si="213"/>
        <v>0.41666666666666669</v>
      </c>
      <c r="F214" s="75">
        <f>VLOOKUP(E214,データ!$K$20:$O$24,5,FALSE)</f>
        <v>0</v>
      </c>
      <c r="G214" s="74">
        <f>IF(AND(M214&gt;=VLOOKUP(M214,データ!$K$3:$O$6,1,TRUE),M214&lt;=VLOOKUP(M214,データ!$K$3:$O$6,2,TRUE)),VLOOKUP(M214,データ!$K$3:$O$6,4,TRUE),"")</f>
        <v>0.70833333333333337</v>
      </c>
      <c r="H214" s="256">
        <f>INDEX(データ!L$21:N$24,MATCH(配置表!E214,データ!K$21:K$24,0),MATCH(配置表!G214,データ!L$20:N$20,0))</f>
        <v>1</v>
      </c>
      <c r="I214" s="52" t="str">
        <f>IF(ISERROR(VLOOKUP(M214,データ!$A$3:$C$20,3,FALSE)),"",VLOOKUP(M214,データ!$A$3:$C$20,3,FALSE))</f>
        <v/>
      </c>
      <c r="J214" s="52" t="str">
        <f t="shared" si="214"/>
        <v/>
      </c>
      <c r="K214" s="53">
        <f t="shared" si="225"/>
        <v>0</v>
      </c>
      <c r="L214" s="28" t="str">
        <f t="shared" si="215"/>
        <v/>
      </c>
      <c r="M214" s="9">
        <f t="shared" si="226"/>
        <v>45940</v>
      </c>
      <c r="N214" s="10" t="str">
        <f t="shared" si="216"/>
        <v>金</v>
      </c>
      <c r="O214" s="63" t="str">
        <f>IF(AND(M214&gt;=VLOOKUP(M214,データ!$E$3:$G$9,1,TRUE),M214&lt;=VLOOKUP(M214,データ!$E$3:$G$9,2,TRUE)),VLOOKUP(M214,データ!$E$3:$G$9,3,TRUE),"")</f>
        <v>秋　特別展</v>
      </c>
      <c r="P214" s="63" t="str">
        <f>IF(AND(M214&gt;=VLOOKUP(M214,データ!$E$14:$G$21,1,TRUE),M214&lt;=VLOOKUP(M214,データ!$E$14:$G$21,2,TRUE)),VLOOKUP(M214,データ!$E$14:$G$21,3,TRUE),"")</f>
        <v>テーマ展</v>
      </c>
      <c r="Q214" s="44" t="str">
        <f t="shared" si="217"/>
        <v>○</v>
      </c>
      <c r="R214" s="10"/>
      <c r="S214" s="33" t="str">
        <f t="shared" si="232"/>
        <v/>
      </c>
      <c r="T214" s="45"/>
      <c r="U214" s="33" t="str">
        <f t="shared" si="230"/>
        <v>●</v>
      </c>
      <c r="V214" s="32"/>
      <c r="W214" s="33" t="str">
        <f t="shared" si="233"/>
        <v>○</v>
      </c>
      <c r="X214" s="32"/>
      <c r="Y214" s="33" t="str">
        <f t="shared" si="221"/>
        <v>○</v>
      </c>
      <c r="Z214" s="32">
        <f>IF(L214="閉","",(IF(AND(M214&gt;=VLOOKUP(M214,データ!$E$3:$G$9,1,TRUE),M214&lt;=VLOOKUP(M214,データ!$E$3:$G$9,2,TRUE)),VLOOKUP(M214,データ!$E$3:$H$9,4,TRUE),0)+IF(AND(M214&gt;=VLOOKUP(M214,データ!$E$14:$G$21,1,TRUE),M214&lt;=VLOOKUP(M214,データ!$E$14:$G$21,2,TRUE)),VLOOKUP(M214,データ!$E$14:$H$21,4,TRUE),0)))</f>
        <v>5</v>
      </c>
      <c r="AA214" s="33" t="str">
        <f t="shared" si="222"/>
        <v>○</v>
      </c>
      <c r="AB214" s="227">
        <f t="shared" si="223"/>
        <v>0.41666666666666669</v>
      </c>
      <c r="AC214" s="227">
        <f t="shared" si="224"/>
        <v>0.70833333333333337</v>
      </c>
      <c r="AD214" s="228" t="str">
        <f>IF(K214=1,IF(ISERROR(VLOOKUP(M214,データ!$A$3:$C$23,2,FALSE)),"",VLOOKUP(M214,データ!$A$3:$C$23,2,FALSE)),(IF(ISERROR(VLOOKUP(M214,データ!$A$3:$C$23,2,FALSE)),"",VLOOKUP(M214,データ!$A$3:$C$23,2,FALSE))))</f>
        <v/>
      </c>
    </row>
    <row r="215" spans="1:30">
      <c r="A215" s="1">
        <f>IF(AND(M215&gt;=VLOOKUP(M215,データ!$K$3:$O$6,1,TRUE),M215&lt;=VLOOKUP(M215,データ!$K$3:$O$6,2,TRUE)),VLOOKUP(M215,データ!$K$3:$O$6,5,TRUE),"")</f>
        <v>1</v>
      </c>
      <c r="B215" s="74">
        <f>IF(AND(M215&gt;=VLOOKUP(M215,データ!$K$3:$O$6,1,TRUE),M215&lt;=VLOOKUP(M215,データ!$K$3:$O$6,2,TRUE)),VLOOKUP(M215,データ!$K$3:$O$6,3,TRUE),"")</f>
        <v>0.41666666666666669</v>
      </c>
      <c r="C215" s="1">
        <f>IF(AND(M215&gt;=VLOOKUP(M215,データ!$K$11:$O$16,1,TRUE),M215&lt;=VLOOKUP(M215,データ!$K$11:$O$16,2,TRUE)),VLOOKUP(M215,データ!$K$11:$O$16,5,TRUE),0)</f>
        <v>0</v>
      </c>
      <c r="D215" s="74" t="str">
        <f>IF(AND(M215&gt;=VLOOKUP(M215,データ!$K$11:$O$16,1,TRUE),M215&lt;=VLOOKUP(M215,データ!$K$11:$O$16,2,TRUE)),VLOOKUP(M215,データ!$K$11:$O$16,3,TRUE),"")</f>
        <v/>
      </c>
      <c r="E215" s="74">
        <f t="shared" si="213"/>
        <v>0.41666666666666669</v>
      </c>
      <c r="F215" s="75">
        <f>VLOOKUP(E215,データ!$K$20:$O$24,5,FALSE)</f>
        <v>0</v>
      </c>
      <c r="G215" s="74">
        <f>IF(AND(M215&gt;=VLOOKUP(M215,データ!$K$3:$O$6,1,TRUE),M215&lt;=VLOOKUP(M215,データ!$K$3:$O$6,2,TRUE)),VLOOKUP(M215,データ!$K$3:$O$6,4,TRUE),"")</f>
        <v>0.70833333333333337</v>
      </c>
      <c r="H215" s="256">
        <f>INDEX(データ!L$21:N$24,MATCH(配置表!E215,データ!K$21:K$24,0),MATCH(配置表!G215,データ!L$20:N$20,0))</f>
        <v>1</v>
      </c>
      <c r="I215" s="52" t="str">
        <f>IF(ISERROR(VLOOKUP(M215,データ!$A$3:$C$20,3,FALSE)),"",VLOOKUP(M215,データ!$A$3:$C$20,3,FALSE))</f>
        <v/>
      </c>
      <c r="J215" s="52" t="str">
        <f t="shared" si="214"/>
        <v/>
      </c>
      <c r="K215" s="53">
        <f t="shared" si="225"/>
        <v>0</v>
      </c>
      <c r="L215" s="28" t="str">
        <f t="shared" si="215"/>
        <v/>
      </c>
      <c r="M215" s="9">
        <f t="shared" si="226"/>
        <v>45941</v>
      </c>
      <c r="N215" s="10" t="str">
        <f t="shared" si="216"/>
        <v>土</v>
      </c>
      <c r="O215" s="63" t="str">
        <f>IF(AND(M215&gt;=VLOOKUP(M215,データ!$E$3:$G$9,1,TRUE),M215&lt;=VLOOKUP(M215,データ!$E$3:$G$9,2,TRUE)),VLOOKUP(M215,データ!$E$3:$G$9,3,TRUE),"")</f>
        <v>秋　特別展</v>
      </c>
      <c r="P215" s="63" t="str">
        <f>IF(AND(M215&gt;=VLOOKUP(M215,データ!$E$14:$G$21,1,TRUE),M215&lt;=VLOOKUP(M215,データ!$E$14:$G$21,2,TRUE)),VLOOKUP(M215,データ!$E$14:$G$21,3,TRUE),"")</f>
        <v>テーマ展</v>
      </c>
      <c r="Q215" s="44" t="str">
        <f t="shared" si="217"/>
        <v>○</v>
      </c>
      <c r="R215" s="10"/>
      <c r="S215" s="10" t="str">
        <f t="shared" ref="S215:S216" si="234">IF(L215="閉","休",IF(O215="","",IF(O215="冬　特別展",IF(OR(N215="土",N215="日",I215=1),"○",""),"○")))</f>
        <v>○</v>
      </c>
      <c r="T215" s="45"/>
      <c r="U215" s="33" t="str">
        <f t="shared" si="230"/>
        <v>●</v>
      </c>
      <c r="V215" s="32"/>
      <c r="W215" s="33" t="str">
        <f t="shared" ref="W215:W216" si="235">IF(L215="閉","休",IF(O215="","",IF(OR(N215="土",N215="日",I215=1),IF(OR(O215="ダミー　特別展",O215="ダミー　特別展"),"◎",IF(OR(O215="夏　特別展",O215="秋　特別展",O215="春　特別展"),"◎","")),"")))</f>
        <v>◎</v>
      </c>
      <c r="X215" s="32"/>
      <c r="Y215" s="33" t="str">
        <f t="shared" si="221"/>
        <v>○</v>
      </c>
      <c r="Z215" s="32">
        <f>IF(L215="閉","",(IF(AND(M215&gt;=VLOOKUP(M215,データ!$E$3:$G$9,1,TRUE),M215&lt;=VLOOKUP(M215,データ!$E$3:$G$9,2,TRUE)),VLOOKUP(M215,データ!$E$3:$H$9,4,TRUE),0)+IF(AND(M215&gt;=VLOOKUP(M215,データ!$E$14:$G$21,1,TRUE),M215&lt;=VLOOKUP(M215,データ!$E$14:$G$21,2,TRUE)),VLOOKUP(M215,データ!$E$14:$H$21,4,TRUE),0)))</f>
        <v>5</v>
      </c>
      <c r="AA215" s="33" t="str">
        <f t="shared" si="222"/>
        <v>○</v>
      </c>
      <c r="AB215" s="227">
        <f t="shared" si="223"/>
        <v>0.41666666666666669</v>
      </c>
      <c r="AC215" s="227">
        <f t="shared" si="224"/>
        <v>0.70833333333333337</v>
      </c>
      <c r="AD215" s="228" t="str">
        <f>IF(K215=1,IF(ISERROR(VLOOKUP(M215,データ!$A$3:$C$23,2,FALSE)),"",VLOOKUP(M215,データ!$A$3:$C$23,2,FALSE)),(IF(ISERROR(VLOOKUP(M215,データ!$A$3:$C$23,2,FALSE)),"",VLOOKUP(M215,データ!$A$3:$C$23,2,FALSE))))</f>
        <v/>
      </c>
    </row>
    <row r="216" spans="1:30">
      <c r="A216" s="1">
        <f>IF(AND(M216&gt;=VLOOKUP(M216,データ!$K$3:$O$6,1,TRUE),M216&lt;=VLOOKUP(M216,データ!$K$3:$O$6,2,TRUE)),VLOOKUP(M216,データ!$K$3:$O$6,5,TRUE),"")</f>
        <v>1</v>
      </c>
      <c r="B216" s="74">
        <f>IF(AND(M216&gt;=VLOOKUP(M216,データ!$K$3:$O$6,1,TRUE),M216&lt;=VLOOKUP(M216,データ!$K$3:$O$6,2,TRUE)),VLOOKUP(M216,データ!$K$3:$O$6,3,TRUE),"")</f>
        <v>0.41666666666666669</v>
      </c>
      <c r="C216" s="1">
        <f>IF(AND(M216&gt;=VLOOKUP(M216,データ!$K$11:$O$16,1,TRUE),M216&lt;=VLOOKUP(M216,データ!$K$11:$O$16,2,TRUE)),VLOOKUP(M216,データ!$K$11:$O$16,5,TRUE),0)</f>
        <v>0</v>
      </c>
      <c r="D216" s="74" t="str">
        <f>IF(AND(M216&gt;=VLOOKUP(M216,データ!$K$11:$O$16,1,TRUE),M216&lt;=VLOOKUP(M216,データ!$K$11:$O$16,2,TRUE)),VLOOKUP(M216,データ!$K$11:$O$16,3,TRUE),"")</f>
        <v/>
      </c>
      <c r="E216" s="74">
        <f t="shared" si="213"/>
        <v>0.41666666666666669</v>
      </c>
      <c r="F216" s="75">
        <f>VLOOKUP(E216,データ!$K$20:$O$24,5,FALSE)</f>
        <v>0</v>
      </c>
      <c r="G216" s="74">
        <f>IF(AND(M216&gt;=VLOOKUP(M216,データ!$K$3:$O$6,1,TRUE),M216&lt;=VLOOKUP(M216,データ!$K$3:$O$6,2,TRUE)),VLOOKUP(M216,データ!$K$3:$O$6,4,TRUE),"")</f>
        <v>0.70833333333333337</v>
      </c>
      <c r="H216" s="256">
        <f>INDEX(データ!L$21:N$24,MATCH(配置表!E216,データ!K$21:K$24,0),MATCH(配置表!G216,データ!L$20:N$20,0))</f>
        <v>1</v>
      </c>
      <c r="I216" s="52" t="str">
        <f>IF(ISERROR(VLOOKUP(M216,データ!$A$3:$C$20,3,FALSE)),"",VLOOKUP(M216,データ!$A$3:$C$20,3,FALSE))</f>
        <v/>
      </c>
      <c r="J216" s="52" t="str">
        <f t="shared" si="214"/>
        <v/>
      </c>
      <c r="K216" s="53">
        <f t="shared" si="225"/>
        <v>0</v>
      </c>
      <c r="L216" s="28" t="str">
        <f t="shared" si="215"/>
        <v/>
      </c>
      <c r="M216" s="9">
        <f t="shared" si="226"/>
        <v>45942</v>
      </c>
      <c r="N216" s="10" t="str">
        <f t="shared" si="216"/>
        <v>日</v>
      </c>
      <c r="O216" s="63" t="str">
        <f>IF(AND(M216&gt;=VLOOKUP(M216,データ!$E$3:$G$9,1,TRUE),M216&lt;=VLOOKUP(M216,データ!$E$3:$G$9,2,TRUE)),VLOOKUP(M216,データ!$E$3:$G$9,3,TRUE),"")</f>
        <v>秋　特別展</v>
      </c>
      <c r="P216" s="63" t="str">
        <f>IF(AND(M216&gt;=VLOOKUP(M216,データ!$E$14:$G$21,1,TRUE),M216&lt;=VLOOKUP(M216,データ!$E$14:$G$21,2,TRUE)),VLOOKUP(M216,データ!$E$14:$G$21,3,TRUE),"")</f>
        <v>テーマ展</v>
      </c>
      <c r="Q216" s="44" t="str">
        <f t="shared" si="217"/>
        <v>○</v>
      </c>
      <c r="R216" s="10"/>
      <c r="S216" s="10" t="str">
        <f t="shared" si="234"/>
        <v>○</v>
      </c>
      <c r="T216" s="45"/>
      <c r="U216" s="33" t="str">
        <f t="shared" si="230"/>
        <v>●</v>
      </c>
      <c r="V216" s="32"/>
      <c r="W216" s="33" t="str">
        <f t="shared" si="235"/>
        <v>◎</v>
      </c>
      <c r="X216" s="32"/>
      <c r="Y216" s="33" t="str">
        <f t="shared" si="221"/>
        <v>○</v>
      </c>
      <c r="Z216" s="32">
        <f>IF(L216="閉","",(IF(AND(M216&gt;=VLOOKUP(M216,データ!$E$3:$G$9,1,TRUE),M216&lt;=VLOOKUP(M216,データ!$E$3:$G$9,2,TRUE)),VLOOKUP(M216,データ!$E$3:$H$9,4,TRUE),0)+IF(AND(M216&gt;=VLOOKUP(M216,データ!$E$14:$G$21,1,TRUE),M216&lt;=VLOOKUP(M216,データ!$E$14:$G$21,2,TRUE)),VLOOKUP(M216,データ!$E$14:$H$21,4,TRUE),0)))</f>
        <v>5</v>
      </c>
      <c r="AA216" s="33" t="str">
        <f t="shared" si="222"/>
        <v>○</v>
      </c>
      <c r="AB216" s="227">
        <f t="shared" si="223"/>
        <v>0.41666666666666669</v>
      </c>
      <c r="AC216" s="227">
        <f t="shared" si="224"/>
        <v>0.70833333333333337</v>
      </c>
      <c r="AD216" s="228" t="str">
        <f>IF(K216=1,IF(ISERROR(VLOOKUP(M216,データ!$A$3:$C$23,2,FALSE)),"",VLOOKUP(M216,データ!$A$3:$C$23,2,FALSE)),(IF(ISERROR(VLOOKUP(M216,データ!$A$3:$C$23,2,FALSE)),"",VLOOKUP(M216,データ!$A$3:$C$23,2,FALSE))))</f>
        <v/>
      </c>
    </row>
    <row r="217" spans="1:30">
      <c r="A217" s="1">
        <f>IF(AND(M217&gt;=VLOOKUP(M217,データ!$K$3:$O$6,1,TRUE),M217&lt;=VLOOKUP(M217,データ!$K$3:$O$6,2,TRUE)),VLOOKUP(M217,データ!$K$3:$O$6,5,TRUE),"")</f>
        <v>1</v>
      </c>
      <c r="B217" s="74">
        <f>IF(AND(M217&gt;=VLOOKUP(M217,データ!$K$3:$O$6,1,TRUE),M217&lt;=VLOOKUP(M217,データ!$K$3:$O$6,2,TRUE)),VLOOKUP(M217,データ!$K$3:$O$6,3,TRUE),"")</f>
        <v>0.41666666666666669</v>
      </c>
      <c r="C217" s="1">
        <f>IF(AND(M217&gt;=VLOOKUP(M217,データ!$K$11:$O$16,1,TRUE),M217&lt;=VLOOKUP(M217,データ!$K$11:$O$16,2,TRUE)),VLOOKUP(M217,データ!$K$11:$O$16,5,TRUE),0)</f>
        <v>0</v>
      </c>
      <c r="D217" s="74" t="str">
        <f>IF(AND(M217&gt;=VLOOKUP(M217,データ!$K$11:$O$16,1,TRUE),M217&lt;=VLOOKUP(M217,データ!$K$11:$O$16,2,TRUE)),VLOOKUP(M217,データ!$K$11:$O$16,3,TRUE),"")</f>
        <v/>
      </c>
      <c r="E217" s="74">
        <f t="shared" si="213"/>
        <v>0.41666666666666669</v>
      </c>
      <c r="F217" s="75">
        <f>VLOOKUP(E217,データ!$K$20:$O$24,5,FALSE)</f>
        <v>0</v>
      </c>
      <c r="G217" s="74">
        <f>IF(AND(M217&gt;=VLOOKUP(M217,データ!$K$3:$O$6,1,TRUE),M217&lt;=VLOOKUP(M217,データ!$K$3:$O$6,2,TRUE)),VLOOKUP(M217,データ!$K$3:$O$6,4,TRUE),"")</f>
        <v>0.70833333333333337</v>
      </c>
      <c r="H217" s="256">
        <f>INDEX(データ!L$21:N$24,MATCH(配置表!E217,データ!K$21:K$24,0),MATCH(配置表!G217,データ!L$20:N$20,0))</f>
        <v>1</v>
      </c>
      <c r="I217" s="52">
        <f>IF(ISERROR(VLOOKUP(M217,データ!$A$3:$C$20,3,FALSE)),"",VLOOKUP(M217,データ!$A$3:$C$20,3,FALSE))</f>
        <v>1</v>
      </c>
      <c r="J217" s="52">
        <f t="shared" si="214"/>
        <v>1</v>
      </c>
      <c r="K217" s="53">
        <f t="shared" si="225"/>
        <v>2</v>
      </c>
      <c r="L217" s="28" t="str">
        <f t="shared" si="215"/>
        <v/>
      </c>
      <c r="M217" s="9">
        <f t="shared" si="226"/>
        <v>45943</v>
      </c>
      <c r="N217" s="10" t="str">
        <f t="shared" si="216"/>
        <v>月</v>
      </c>
      <c r="O217" s="63" t="str">
        <f>IF(AND(M217&gt;=VLOOKUP(M217,データ!$E$3:$G$9,1,TRUE),M217&lt;=VLOOKUP(M217,データ!$E$3:$G$9,2,TRUE)),VLOOKUP(M217,データ!$E$3:$G$9,3,TRUE),"")</f>
        <v>秋　特別展</v>
      </c>
      <c r="P217" s="63" t="str">
        <f>IF(AND(M217&gt;=VLOOKUP(M217,データ!$E$14:$G$21,1,TRUE),M217&lt;=VLOOKUP(M217,データ!$E$14:$G$21,2,TRUE)),VLOOKUP(M217,データ!$E$14:$G$21,3,TRUE),"")</f>
        <v>テーマ展</v>
      </c>
      <c r="Q217" s="44" t="str">
        <f t="shared" si="217"/>
        <v>○</v>
      </c>
      <c r="R217" s="10"/>
      <c r="S217" s="10" t="str">
        <f t="shared" ref="S217" si="236">IF(L217="閉","休",IF(O217="","",IF(O217="冬　特別展",IF(OR(N217="土",N217="日",I217=1),"○",""),"○")))</f>
        <v>○</v>
      </c>
      <c r="T217" s="45"/>
      <c r="U217" s="33" t="str">
        <f t="shared" ref="U217" si="237">IF(L217="閉","休",IF(S217="","●","●"))</f>
        <v>●</v>
      </c>
      <c r="V217" s="32"/>
      <c r="W217" s="33" t="str">
        <f t="shared" ref="W217" si="238">IF(L217="閉","休",IF(O217="","",IF(OR(N217="土",N217="日",I217=1),IF(OR(O217="ダミー　特別展",O217="ダミー　特別展"),"◎",IF(OR(O217="夏　特別展",O217="秋　特別展",O217="春　特別展"),"◎","")),"")))</f>
        <v>◎</v>
      </c>
      <c r="X217" s="32"/>
      <c r="Y217" s="33" t="str">
        <f t="shared" si="221"/>
        <v>○</v>
      </c>
      <c r="Z217" s="32">
        <f>IF(L217="閉","",(IF(AND(M217&gt;=VLOOKUP(M217,データ!$E$3:$G$9,1,TRUE),M217&lt;=VLOOKUP(M217,データ!$E$3:$G$9,2,TRUE)),VLOOKUP(M217,データ!$E$3:$H$9,4,TRUE),0)+IF(AND(M217&gt;=VLOOKUP(M217,データ!$E$14:$G$21,1,TRUE),M217&lt;=VLOOKUP(M217,データ!$E$14:$G$21,2,TRUE)),VLOOKUP(M217,データ!$E$14:$H$21,4,TRUE),0)))</f>
        <v>5</v>
      </c>
      <c r="AA217" s="33" t="str">
        <f t="shared" si="222"/>
        <v>○</v>
      </c>
      <c r="AB217" s="227">
        <f t="shared" si="223"/>
        <v>0.41666666666666669</v>
      </c>
      <c r="AC217" s="227">
        <f t="shared" si="224"/>
        <v>0.70833333333333337</v>
      </c>
      <c r="AD217" s="228" t="str">
        <f>IF(K217=1,IF(ISERROR(VLOOKUP(M217,データ!$A$3:$C$23,2,FALSE)),"",VLOOKUP(M217,データ!$A$3:$C$23,2,FALSE)),(IF(ISERROR(VLOOKUP(M217,データ!$A$3:$C$23,2,FALSE)),"",VLOOKUP(M217,データ!$A$3:$C$23,2,FALSE))))</f>
        <v>スポーツの日</v>
      </c>
    </row>
    <row r="218" spans="1:30">
      <c r="A218" s="1">
        <f>IF(AND(M218&gt;=VLOOKUP(M218,データ!$K$3:$O$6,1,TRUE),M218&lt;=VLOOKUP(M218,データ!$K$3:$O$6,2,TRUE)),VLOOKUP(M218,データ!$K$3:$O$6,5,TRUE),"")</f>
        <v>1</v>
      </c>
      <c r="B218" s="74">
        <f>IF(AND(M218&gt;=VLOOKUP(M218,データ!$K$3:$O$6,1,TRUE),M218&lt;=VLOOKUP(M218,データ!$K$3:$O$6,2,TRUE)),VLOOKUP(M218,データ!$K$3:$O$6,3,TRUE),"")</f>
        <v>0.41666666666666669</v>
      </c>
      <c r="C218" s="1">
        <f>IF(AND(M218&gt;=VLOOKUP(M218,データ!$K$11:$O$16,1,TRUE),M218&lt;=VLOOKUP(M218,データ!$K$11:$O$16,2,TRUE)),VLOOKUP(M218,データ!$K$11:$O$16,5,TRUE),0)</f>
        <v>0</v>
      </c>
      <c r="D218" s="74" t="str">
        <f>IF(AND(M218&gt;=VLOOKUP(M218,データ!$K$11:$O$16,1,TRUE),M218&lt;=VLOOKUP(M218,データ!$K$11:$O$16,2,TRUE)),VLOOKUP(M218,データ!$K$11:$O$16,3,TRUE),"")</f>
        <v/>
      </c>
      <c r="E218" s="74">
        <f t="shared" si="213"/>
        <v>0.41666666666666669</v>
      </c>
      <c r="F218" s="75">
        <f>VLOOKUP(E218,データ!$K$20:$O$24,5,FALSE)</f>
        <v>0</v>
      </c>
      <c r="G218" s="74">
        <f>IF(AND(M218&gt;=VLOOKUP(M218,データ!$K$3:$O$6,1,TRUE),M218&lt;=VLOOKUP(M218,データ!$K$3:$O$6,2,TRUE)),VLOOKUP(M218,データ!$K$3:$O$6,4,TRUE),"")</f>
        <v>0.70833333333333337</v>
      </c>
      <c r="H218" s="256">
        <f>INDEX(データ!L$21:N$24,MATCH(配置表!E218,データ!K$21:K$24,0),MATCH(配置表!G218,データ!L$20:N$20,0))</f>
        <v>1</v>
      </c>
      <c r="I218" s="52" t="str">
        <f>IF(ISERROR(VLOOKUP(M218,データ!$A$3:$C$20,3,FALSE)),"",VLOOKUP(M218,データ!$A$3:$C$20,3,FALSE))</f>
        <v/>
      </c>
      <c r="J218" s="52" t="str">
        <f t="shared" si="214"/>
        <v/>
      </c>
      <c r="K218" s="53">
        <f t="shared" si="225"/>
        <v>1</v>
      </c>
      <c r="L218" s="28" t="str">
        <f t="shared" si="215"/>
        <v>閉</v>
      </c>
      <c r="M218" s="9">
        <f t="shared" si="226"/>
        <v>45944</v>
      </c>
      <c r="N218" s="10" t="str">
        <f t="shared" si="216"/>
        <v>火</v>
      </c>
      <c r="O218" s="63" t="str">
        <f>IF(AND(M218&gt;=VLOOKUP(M218,データ!$E$3:$G$9,1,TRUE),M218&lt;=VLOOKUP(M218,データ!$E$3:$G$9,2,TRUE)),VLOOKUP(M218,データ!$E$3:$G$9,3,TRUE),"")</f>
        <v>秋　特別展</v>
      </c>
      <c r="P218" s="63" t="str">
        <f>IF(AND(M218&gt;=VLOOKUP(M218,データ!$E$14:$G$21,1,TRUE),M218&lt;=VLOOKUP(M218,データ!$E$14:$G$21,2,TRUE)),VLOOKUP(M218,データ!$E$14:$G$21,3,TRUE),"")</f>
        <v>テーマ展</v>
      </c>
      <c r="Q218" s="44" t="str">
        <f t="shared" si="217"/>
        <v>休</v>
      </c>
      <c r="R218" s="32"/>
      <c r="S218" s="10" t="str">
        <f t="shared" si="229"/>
        <v>休</v>
      </c>
      <c r="T218" s="32"/>
      <c r="U218" s="33" t="str">
        <f t="shared" si="230"/>
        <v>休</v>
      </c>
      <c r="V218" s="32"/>
      <c r="W218" s="33" t="str">
        <f t="shared" si="231"/>
        <v>休</v>
      </c>
      <c r="X218" s="32"/>
      <c r="Y218" s="33" t="str">
        <f t="shared" si="221"/>
        <v>休</v>
      </c>
      <c r="Z218" s="32" t="str">
        <f>IF(L218="閉","",(IF(AND(M218&gt;=VLOOKUP(M218,データ!$E$3:$G$9,1,TRUE),M218&lt;=VLOOKUP(M218,データ!$E$3:$G$9,2,TRUE)),VLOOKUP(M218,データ!$E$3:$H$9,4,TRUE),0)+IF(AND(M218&gt;=VLOOKUP(M218,データ!$E$14:$G$21,1,TRUE),M218&lt;=VLOOKUP(M218,データ!$E$14:$G$21,2,TRUE)),VLOOKUP(M218,データ!$E$14:$H$21,4,TRUE),0)))</f>
        <v/>
      </c>
      <c r="AA218" s="33" t="str">
        <f t="shared" si="222"/>
        <v>休</v>
      </c>
      <c r="AB218" s="227" t="str">
        <f t="shared" si="223"/>
        <v/>
      </c>
      <c r="AC218" s="227" t="str">
        <f t="shared" si="224"/>
        <v/>
      </c>
      <c r="AD218" s="228" t="str">
        <f>IF(K218=1,IF(ISERROR(VLOOKUP(M218,データ!$A$3:$C$23,2,FALSE)),"",VLOOKUP(M218,データ!$A$3:$C$23,2,FALSE)),(IF(ISERROR(VLOOKUP(M218,データ!$A$3:$C$23,2,FALSE)),"",VLOOKUP(M218,データ!$A$3:$C$23,2,FALSE))))</f>
        <v/>
      </c>
    </row>
    <row r="219" spans="1:30">
      <c r="A219" s="1">
        <f>IF(AND(M219&gt;=VLOOKUP(M219,データ!$K$3:$O$6,1,TRUE),M219&lt;=VLOOKUP(M219,データ!$K$3:$O$6,2,TRUE)),VLOOKUP(M219,データ!$K$3:$O$6,5,TRUE),"")</f>
        <v>1</v>
      </c>
      <c r="B219" s="74">
        <f>IF(AND(M219&gt;=VLOOKUP(M219,データ!$K$3:$O$6,1,TRUE),M219&lt;=VLOOKUP(M219,データ!$K$3:$O$6,2,TRUE)),VLOOKUP(M219,データ!$K$3:$O$6,3,TRUE),"")</f>
        <v>0.41666666666666669</v>
      </c>
      <c r="C219" s="1">
        <f>IF(AND(M219&gt;=VLOOKUP(M219,データ!$K$11:$O$16,1,TRUE),M219&lt;=VLOOKUP(M219,データ!$K$11:$O$16,2,TRUE)),VLOOKUP(M219,データ!$K$11:$O$16,5,TRUE),0)</f>
        <v>0</v>
      </c>
      <c r="D219" s="74" t="str">
        <f>IF(AND(M219&gt;=VLOOKUP(M219,データ!$K$11:$O$16,1,TRUE),M219&lt;=VLOOKUP(M219,データ!$K$11:$O$16,2,TRUE)),VLOOKUP(M219,データ!$K$11:$O$16,3,TRUE),"")</f>
        <v/>
      </c>
      <c r="E219" s="74">
        <f t="shared" si="213"/>
        <v>0.41666666666666669</v>
      </c>
      <c r="F219" s="75">
        <f>VLOOKUP(E219,データ!$K$20:$O$24,5,FALSE)</f>
        <v>0</v>
      </c>
      <c r="G219" s="74">
        <f>IF(AND(M219&gt;=VLOOKUP(M219,データ!$K$3:$O$6,1,TRUE),M219&lt;=VLOOKUP(M219,データ!$K$3:$O$6,2,TRUE)),VLOOKUP(M219,データ!$K$3:$O$6,4,TRUE),"")</f>
        <v>0.70833333333333337</v>
      </c>
      <c r="H219" s="256">
        <f>INDEX(データ!L$21:N$24,MATCH(配置表!E219,データ!K$21:K$24,0),MATCH(配置表!G219,データ!L$20:N$20,0))</f>
        <v>1</v>
      </c>
      <c r="I219" s="52" t="str">
        <f>IF(ISERROR(VLOOKUP(M219,データ!$A$3:$C$20,3,FALSE)),"",VLOOKUP(M219,データ!$A$3:$C$20,3,FALSE))</f>
        <v/>
      </c>
      <c r="J219" s="52" t="str">
        <f t="shared" si="214"/>
        <v/>
      </c>
      <c r="K219" s="53">
        <f t="shared" si="225"/>
        <v>0</v>
      </c>
      <c r="L219" s="28" t="str">
        <f t="shared" si="215"/>
        <v/>
      </c>
      <c r="M219" s="9">
        <f t="shared" si="226"/>
        <v>45945</v>
      </c>
      <c r="N219" s="10" t="str">
        <f t="shared" si="216"/>
        <v>水</v>
      </c>
      <c r="O219" s="63" t="str">
        <f>IF(AND(M219&gt;=VLOOKUP(M219,データ!$E$3:$G$9,1,TRUE),M219&lt;=VLOOKUP(M219,データ!$E$3:$G$9,2,TRUE)),VLOOKUP(M219,データ!$E$3:$G$9,3,TRUE),"")</f>
        <v>秋　特別展</v>
      </c>
      <c r="P219" s="63" t="str">
        <f>IF(AND(M219&gt;=VLOOKUP(M219,データ!$E$14:$G$21,1,TRUE),M219&lt;=VLOOKUP(M219,データ!$E$14:$G$21,2,TRUE)),VLOOKUP(M219,データ!$E$14:$G$21,3,TRUE),"")</f>
        <v>テーマ展</v>
      </c>
      <c r="Q219" s="44" t="str">
        <f t="shared" si="217"/>
        <v>○</v>
      </c>
      <c r="R219" s="10"/>
      <c r="S219" s="33" t="str">
        <f t="shared" ref="S219:S221" si="239">IF(H219="閉","休",IF(K219="","",IF(OR(J219="土",J219="日",E219=1),IF(OR(K219="ダミー　特別展",K219="ダミー　特別展"),"◎",IF(OR(K219="夏　特別展",K219="秋　特別展",K219="春　特別展"),"○","")),"")))</f>
        <v/>
      </c>
      <c r="T219" s="45"/>
      <c r="U219" s="33" t="str">
        <f t="shared" ref="U219:U223" si="240">IF(L219="閉","休",IF(S219="","●","●"))</f>
        <v>●</v>
      </c>
      <c r="V219" s="32"/>
      <c r="W219" s="33" t="str">
        <f t="shared" ref="W219:W221" si="241">IF(P219="閉","休",IF(O219="","",IF(O219="冬　特別展",IF(OR(N219="土",N219="日",M219=1),"○",""),"○")))</f>
        <v>○</v>
      </c>
      <c r="X219" s="32"/>
      <c r="Y219" s="33" t="str">
        <f t="shared" si="221"/>
        <v>○</v>
      </c>
      <c r="Z219" s="32">
        <f>IF(L219="閉","",(IF(AND(M219&gt;=VLOOKUP(M219,データ!$E$3:$G$9,1,TRUE),M219&lt;=VLOOKUP(M219,データ!$E$3:$G$9,2,TRUE)),VLOOKUP(M219,データ!$E$3:$H$9,4,TRUE),0)+IF(AND(M219&gt;=VLOOKUP(M219,データ!$E$14:$G$21,1,TRUE),M219&lt;=VLOOKUP(M219,データ!$E$14:$G$21,2,TRUE)),VLOOKUP(M219,データ!$E$14:$H$21,4,TRUE),0)))</f>
        <v>5</v>
      </c>
      <c r="AA219" s="33" t="str">
        <f t="shared" si="222"/>
        <v>○</v>
      </c>
      <c r="AB219" s="227">
        <f t="shared" si="223"/>
        <v>0.41666666666666669</v>
      </c>
      <c r="AC219" s="227">
        <f t="shared" si="224"/>
        <v>0.70833333333333337</v>
      </c>
      <c r="AD219" s="228" t="str">
        <f>IF(K219=1,IF(ISERROR(VLOOKUP(M219,データ!$A$3:$C$23,2,FALSE)),"",VLOOKUP(M219,データ!$A$3:$C$23,2,FALSE)),(IF(ISERROR(VLOOKUP(M219,データ!$A$3:$C$23,2,FALSE)),"",VLOOKUP(M219,データ!$A$3:$C$23,2,FALSE))))</f>
        <v/>
      </c>
    </row>
    <row r="220" spans="1:30">
      <c r="A220" s="1">
        <f>IF(AND(M220&gt;=VLOOKUP(M220,データ!$K$3:$O$6,1,TRUE),M220&lt;=VLOOKUP(M220,データ!$K$3:$O$6,2,TRUE)),VLOOKUP(M220,データ!$K$3:$O$6,5,TRUE),"")</f>
        <v>1</v>
      </c>
      <c r="B220" s="74">
        <f>IF(AND(M220&gt;=VLOOKUP(M220,データ!$K$3:$O$6,1,TRUE),M220&lt;=VLOOKUP(M220,データ!$K$3:$O$6,2,TRUE)),VLOOKUP(M220,データ!$K$3:$O$6,3,TRUE),"")</f>
        <v>0.41666666666666669</v>
      </c>
      <c r="C220" s="1">
        <f>IF(AND(M220&gt;=VLOOKUP(M220,データ!$K$11:$O$16,1,TRUE),M220&lt;=VLOOKUP(M220,データ!$K$11:$O$16,2,TRUE)),VLOOKUP(M220,データ!$K$11:$O$16,5,TRUE),0)</f>
        <v>0</v>
      </c>
      <c r="D220" s="74" t="str">
        <f>IF(AND(M220&gt;=VLOOKUP(M220,データ!$K$11:$O$16,1,TRUE),M220&lt;=VLOOKUP(M220,データ!$K$11:$O$16,2,TRUE)),VLOOKUP(M220,データ!$K$11:$O$16,3,TRUE),"")</f>
        <v/>
      </c>
      <c r="E220" s="74">
        <f t="shared" si="213"/>
        <v>0.41666666666666669</v>
      </c>
      <c r="F220" s="75">
        <f>VLOOKUP(E220,データ!$K$20:$O$24,5,FALSE)</f>
        <v>0</v>
      </c>
      <c r="G220" s="74">
        <f>IF(AND(M220&gt;=VLOOKUP(M220,データ!$K$3:$O$6,1,TRUE),M220&lt;=VLOOKUP(M220,データ!$K$3:$O$6,2,TRUE)),VLOOKUP(M220,データ!$K$3:$O$6,4,TRUE),"")</f>
        <v>0.70833333333333337</v>
      </c>
      <c r="H220" s="256">
        <f>INDEX(データ!L$21:N$24,MATCH(配置表!E220,データ!K$21:K$24,0),MATCH(配置表!G220,データ!L$20:N$20,0))</f>
        <v>1</v>
      </c>
      <c r="I220" s="52" t="str">
        <f>IF(ISERROR(VLOOKUP(M220,データ!$A$3:$C$20,3,FALSE)),"",VLOOKUP(M220,データ!$A$3:$C$20,3,FALSE))</f>
        <v/>
      </c>
      <c r="J220" s="52" t="str">
        <f t="shared" si="214"/>
        <v/>
      </c>
      <c r="K220" s="53">
        <f t="shared" si="225"/>
        <v>0</v>
      </c>
      <c r="L220" s="28" t="str">
        <f t="shared" si="215"/>
        <v/>
      </c>
      <c r="M220" s="9">
        <f t="shared" si="226"/>
        <v>45946</v>
      </c>
      <c r="N220" s="10" t="str">
        <f t="shared" si="216"/>
        <v>木</v>
      </c>
      <c r="O220" s="63" t="str">
        <f>IF(AND(M220&gt;=VLOOKUP(M220,データ!$E$3:$G$9,1,TRUE),M220&lt;=VLOOKUP(M220,データ!$E$3:$G$9,2,TRUE)),VLOOKUP(M220,データ!$E$3:$G$9,3,TRUE),"")</f>
        <v>秋　特別展</v>
      </c>
      <c r="P220" s="63" t="str">
        <f>IF(AND(M220&gt;=VLOOKUP(M220,データ!$E$14:$G$21,1,TRUE),M220&lt;=VLOOKUP(M220,データ!$E$14:$G$21,2,TRUE)),VLOOKUP(M220,データ!$E$14:$G$21,3,TRUE),"")</f>
        <v>テーマ展</v>
      </c>
      <c r="Q220" s="44" t="str">
        <f t="shared" si="217"/>
        <v>○</v>
      </c>
      <c r="R220" s="10"/>
      <c r="S220" s="33" t="str">
        <f t="shared" si="239"/>
        <v/>
      </c>
      <c r="T220" s="45"/>
      <c r="U220" s="33" t="str">
        <f t="shared" si="240"/>
        <v>●</v>
      </c>
      <c r="V220" s="32"/>
      <c r="W220" s="33" t="str">
        <f t="shared" si="241"/>
        <v>○</v>
      </c>
      <c r="X220" s="32"/>
      <c r="Y220" s="33" t="str">
        <f t="shared" si="221"/>
        <v>○</v>
      </c>
      <c r="Z220" s="32">
        <f>IF(L220="閉","",(IF(AND(M220&gt;=VLOOKUP(M220,データ!$E$3:$G$9,1,TRUE),M220&lt;=VLOOKUP(M220,データ!$E$3:$G$9,2,TRUE)),VLOOKUP(M220,データ!$E$3:$H$9,4,TRUE),0)+IF(AND(M220&gt;=VLOOKUP(M220,データ!$E$14:$G$21,1,TRUE),M220&lt;=VLOOKUP(M220,データ!$E$14:$G$21,2,TRUE)),VLOOKUP(M220,データ!$E$14:$H$21,4,TRUE),0)))</f>
        <v>5</v>
      </c>
      <c r="AA220" s="33" t="str">
        <f t="shared" si="222"/>
        <v>○</v>
      </c>
      <c r="AB220" s="227">
        <f t="shared" si="223"/>
        <v>0.41666666666666669</v>
      </c>
      <c r="AC220" s="227">
        <f t="shared" si="224"/>
        <v>0.70833333333333337</v>
      </c>
      <c r="AD220" s="228" t="str">
        <f>IF(K220=1,IF(ISERROR(VLOOKUP(M220,データ!$A$3:$C$23,2,FALSE)),"",VLOOKUP(M220,データ!$A$3:$C$23,2,FALSE)),(IF(ISERROR(VLOOKUP(M220,データ!$A$3:$C$23,2,FALSE)),"",VLOOKUP(M220,データ!$A$3:$C$23,2,FALSE))))</f>
        <v/>
      </c>
    </row>
    <row r="221" spans="1:30">
      <c r="A221" s="1">
        <f>IF(AND(M221&gt;=VLOOKUP(M221,データ!$K$3:$O$6,1,TRUE),M221&lt;=VLOOKUP(M221,データ!$K$3:$O$6,2,TRUE)),VLOOKUP(M221,データ!$K$3:$O$6,5,TRUE),"")</f>
        <v>1</v>
      </c>
      <c r="B221" s="74">
        <f>IF(AND(M221&gt;=VLOOKUP(M221,データ!$K$3:$O$6,1,TRUE),M221&lt;=VLOOKUP(M221,データ!$K$3:$O$6,2,TRUE)),VLOOKUP(M221,データ!$K$3:$O$6,3,TRUE),"")</f>
        <v>0.41666666666666669</v>
      </c>
      <c r="C221" s="1">
        <f>IF(AND(M221&gt;=VLOOKUP(M221,データ!$K$11:$O$16,1,TRUE),M221&lt;=VLOOKUP(M221,データ!$K$11:$O$16,2,TRUE)),VLOOKUP(M221,データ!$K$11:$O$16,5,TRUE),0)</f>
        <v>0</v>
      </c>
      <c r="D221" s="74" t="str">
        <f>IF(AND(M221&gt;=VLOOKUP(M221,データ!$K$11:$O$16,1,TRUE),M221&lt;=VLOOKUP(M221,データ!$K$11:$O$16,2,TRUE)),VLOOKUP(M221,データ!$K$11:$O$16,3,TRUE),"")</f>
        <v/>
      </c>
      <c r="E221" s="74">
        <f t="shared" si="213"/>
        <v>0.41666666666666669</v>
      </c>
      <c r="F221" s="75">
        <f>VLOOKUP(E221,データ!$K$20:$O$24,5,FALSE)</f>
        <v>0</v>
      </c>
      <c r="G221" s="74">
        <f>IF(AND(M221&gt;=VLOOKUP(M221,データ!$K$3:$O$6,1,TRUE),M221&lt;=VLOOKUP(M221,データ!$K$3:$O$6,2,TRUE)),VLOOKUP(M221,データ!$K$3:$O$6,4,TRUE),"")</f>
        <v>0.70833333333333337</v>
      </c>
      <c r="H221" s="256">
        <f>INDEX(データ!L$21:N$24,MATCH(配置表!E221,データ!K$21:K$24,0),MATCH(配置表!G221,データ!L$20:N$20,0))</f>
        <v>1</v>
      </c>
      <c r="I221" s="52" t="str">
        <f>IF(ISERROR(VLOOKUP(M221,データ!$A$3:$C$20,3,FALSE)),"",VLOOKUP(M221,データ!$A$3:$C$20,3,FALSE))</f>
        <v/>
      </c>
      <c r="J221" s="52" t="str">
        <f t="shared" si="214"/>
        <v/>
      </c>
      <c r="K221" s="53">
        <f t="shared" si="225"/>
        <v>0</v>
      </c>
      <c r="L221" s="28" t="str">
        <f t="shared" si="215"/>
        <v/>
      </c>
      <c r="M221" s="9">
        <f t="shared" si="226"/>
        <v>45947</v>
      </c>
      <c r="N221" s="10" t="str">
        <f t="shared" si="216"/>
        <v>金</v>
      </c>
      <c r="O221" s="63" t="str">
        <f>IF(AND(M221&gt;=VLOOKUP(M221,データ!$E$3:$G$9,1,TRUE),M221&lt;=VLOOKUP(M221,データ!$E$3:$G$9,2,TRUE)),VLOOKUP(M221,データ!$E$3:$G$9,3,TRUE),"")</f>
        <v>秋　特別展</v>
      </c>
      <c r="P221" s="63" t="str">
        <f>IF(AND(M221&gt;=VLOOKUP(M221,データ!$E$14:$G$21,1,TRUE),M221&lt;=VLOOKUP(M221,データ!$E$14:$G$21,2,TRUE)),VLOOKUP(M221,データ!$E$14:$G$21,3,TRUE),"")</f>
        <v>テーマ展</v>
      </c>
      <c r="Q221" s="44" t="str">
        <f t="shared" si="217"/>
        <v>○</v>
      </c>
      <c r="R221" s="10"/>
      <c r="S221" s="33" t="str">
        <f t="shared" si="239"/>
        <v/>
      </c>
      <c r="T221" s="45"/>
      <c r="U221" s="33" t="str">
        <f t="shared" si="240"/>
        <v>●</v>
      </c>
      <c r="V221" s="32"/>
      <c r="W221" s="33" t="str">
        <f t="shared" si="241"/>
        <v>○</v>
      </c>
      <c r="X221" s="32"/>
      <c r="Y221" s="33" t="str">
        <f t="shared" si="221"/>
        <v>○</v>
      </c>
      <c r="Z221" s="32">
        <f>IF(L221="閉","",(IF(AND(M221&gt;=VLOOKUP(M221,データ!$E$3:$G$9,1,TRUE),M221&lt;=VLOOKUP(M221,データ!$E$3:$G$9,2,TRUE)),VLOOKUP(M221,データ!$E$3:$H$9,4,TRUE),0)+IF(AND(M221&gt;=VLOOKUP(M221,データ!$E$14:$G$21,1,TRUE),M221&lt;=VLOOKUP(M221,データ!$E$14:$G$21,2,TRUE)),VLOOKUP(M221,データ!$E$14:$H$21,4,TRUE),0)))</f>
        <v>5</v>
      </c>
      <c r="AA221" s="33" t="str">
        <f t="shared" si="222"/>
        <v>○</v>
      </c>
      <c r="AB221" s="227">
        <f t="shared" si="223"/>
        <v>0.41666666666666669</v>
      </c>
      <c r="AC221" s="227">
        <f t="shared" si="224"/>
        <v>0.70833333333333337</v>
      </c>
      <c r="AD221" s="228" t="str">
        <f>IF(K221=1,IF(ISERROR(VLOOKUP(M221,データ!$A$3:$C$23,2,FALSE)),"",VLOOKUP(M221,データ!$A$3:$C$23,2,FALSE)),(IF(ISERROR(VLOOKUP(M221,データ!$A$3:$C$23,2,FALSE)),"",VLOOKUP(M221,データ!$A$3:$C$23,2,FALSE))))</f>
        <v/>
      </c>
    </row>
    <row r="222" spans="1:30">
      <c r="A222" s="1">
        <f>IF(AND(M222&gt;=VLOOKUP(M222,データ!$K$3:$O$6,1,TRUE),M222&lt;=VLOOKUP(M222,データ!$K$3:$O$6,2,TRUE)),VLOOKUP(M222,データ!$K$3:$O$6,5,TRUE),"")</f>
        <v>1</v>
      </c>
      <c r="B222" s="74">
        <f>IF(AND(M222&gt;=VLOOKUP(M222,データ!$K$3:$O$6,1,TRUE),M222&lt;=VLOOKUP(M222,データ!$K$3:$O$6,2,TRUE)),VLOOKUP(M222,データ!$K$3:$O$6,3,TRUE),"")</f>
        <v>0.41666666666666669</v>
      </c>
      <c r="C222" s="1">
        <f>IF(AND(M222&gt;=VLOOKUP(M222,データ!$K$11:$O$16,1,TRUE),M222&lt;=VLOOKUP(M222,データ!$K$11:$O$16,2,TRUE)),VLOOKUP(M222,データ!$K$11:$O$16,5,TRUE),0)</f>
        <v>0</v>
      </c>
      <c r="D222" s="74" t="str">
        <f>IF(AND(M222&gt;=VLOOKUP(M222,データ!$K$11:$O$16,1,TRUE),M222&lt;=VLOOKUP(M222,データ!$K$11:$O$16,2,TRUE)),VLOOKUP(M222,データ!$K$11:$O$16,3,TRUE),"")</f>
        <v/>
      </c>
      <c r="E222" s="74">
        <f t="shared" si="213"/>
        <v>0.41666666666666669</v>
      </c>
      <c r="F222" s="75">
        <f>VLOOKUP(E222,データ!$K$20:$O$24,5,FALSE)</f>
        <v>0</v>
      </c>
      <c r="G222" s="74">
        <f>IF(AND(M222&gt;=VLOOKUP(M222,データ!$K$3:$O$6,1,TRUE),M222&lt;=VLOOKUP(M222,データ!$K$3:$O$6,2,TRUE)),VLOOKUP(M222,データ!$K$3:$O$6,4,TRUE),"")</f>
        <v>0.70833333333333337</v>
      </c>
      <c r="H222" s="256">
        <f>INDEX(データ!L$21:N$24,MATCH(配置表!E222,データ!K$21:K$24,0),MATCH(配置表!G222,データ!L$20:N$20,0))</f>
        <v>1</v>
      </c>
      <c r="I222" s="52" t="str">
        <f>IF(ISERROR(VLOOKUP(M222,データ!$A$3:$C$20,3,FALSE)),"",VLOOKUP(M222,データ!$A$3:$C$20,3,FALSE))</f>
        <v/>
      </c>
      <c r="J222" s="52" t="str">
        <f t="shared" si="214"/>
        <v/>
      </c>
      <c r="K222" s="53">
        <f t="shared" si="225"/>
        <v>0</v>
      </c>
      <c r="L222" s="28" t="str">
        <f t="shared" si="215"/>
        <v/>
      </c>
      <c r="M222" s="9">
        <f t="shared" si="226"/>
        <v>45948</v>
      </c>
      <c r="N222" s="10" t="str">
        <f t="shared" si="216"/>
        <v>土</v>
      </c>
      <c r="O222" s="63" t="str">
        <f>IF(AND(M222&gt;=VLOOKUP(M222,データ!$E$3:$G$9,1,TRUE),M222&lt;=VLOOKUP(M222,データ!$E$3:$G$9,2,TRUE)),VLOOKUP(M222,データ!$E$3:$G$9,3,TRUE),"")</f>
        <v>秋　特別展</v>
      </c>
      <c r="P222" s="63" t="str">
        <f>IF(AND(M222&gt;=VLOOKUP(M222,データ!$E$14:$G$21,1,TRUE),M222&lt;=VLOOKUP(M222,データ!$E$14:$G$21,2,TRUE)),VLOOKUP(M222,データ!$E$14:$G$21,3,TRUE),"")</f>
        <v>テーマ展</v>
      </c>
      <c r="Q222" s="44" t="str">
        <f t="shared" si="217"/>
        <v>○</v>
      </c>
      <c r="R222" s="10"/>
      <c r="S222" s="10" t="str">
        <f t="shared" ref="S222:S223" si="242">IF(L222="閉","休",IF(O222="","",IF(O222="冬　特別展",IF(OR(N222="土",N222="日",I222=1),"○",""),"○")))</f>
        <v>○</v>
      </c>
      <c r="T222" s="45"/>
      <c r="U222" s="33" t="str">
        <f t="shared" si="240"/>
        <v>●</v>
      </c>
      <c r="V222" s="32"/>
      <c r="W222" s="33" t="str">
        <f t="shared" ref="W222:W223" si="243">IF(L222="閉","休",IF(O222="","",IF(OR(N222="土",N222="日",I222=1),IF(OR(O222="ダミー　特別展",O222="ダミー　特別展"),"◎",IF(OR(O222="夏　特別展",O222="秋　特別展",O222="春　特別展"),"◎","")),"")))</f>
        <v>◎</v>
      </c>
      <c r="X222" s="32"/>
      <c r="Y222" s="33" t="str">
        <f t="shared" si="221"/>
        <v>○</v>
      </c>
      <c r="Z222" s="32">
        <f>IF(L222="閉","",(IF(AND(M222&gt;=VLOOKUP(M222,データ!$E$3:$G$9,1,TRUE),M222&lt;=VLOOKUP(M222,データ!$E$3:$G$9,2,TRUE)),VLOOKUP(M222,データ!$E$3:$H$9,4,TRUE),0)+IF(AND(M222&gt;=VLOOKUP(M222,データ!$E$14:$G$21,1,TRUE),M222&lt;=VLOOKUP(M222,データ!$E$14:$G$21,2,TRUE)),VLOOKUP(M222,データ!$E$14:$H$21,4,TRUE),0)))</f>
        <v>5</v>
      </c>
      <c r="AA222" s="33" t="str">
        <f t="shared" si="222"/>
        <v>○</v>
      </c>
      <c r="AB222" s="227">
        <f t="shared" si="223"/>
        <v>0.41666666666666669</v>
      </c>
      <c r="AC222" s="227">
        <f t="shared" si="224"/>
        <v>0.70833333333333337</v>
      </c>
      <c r="AD222" s="228" t="str">
        <f>IF(K222=1,IF(ISERROR(VLOOKUP(M222,データ!$A$3:$C$23,2,FALSE)),"",VLOOKUP(M222,データ!$A$3:$C$23,2,FALSE)),(IF(ISERROR(VLOOKUP(M222,データ!$A$3:$C$23,2,FALSE)),"",VLOOKUP(M222,データ!$A$3:$C$23,2,FALSE))))</f>
        <v/>
      </c>
    </row>
    <row r="223" spans="1:30">
      <c r="A223" s="1">
        <f>IF(AND(M223&gt;=VLOOKUP(M223,データ!$K$3:$O$6,1,TRUE),M223&lt;=VLOOKUP(M223,データ!$K$3:$O$6,2,TRUE)),VLOOKUP(M223,データ!$K$3:$O$6,5,TRUE),"")</f>
        <v>1</v>
      </c>
      <c r="B223" s="74">
        <f>IF(AND(M223&gt;=VLOOKUP(M223,データ!$K$3:$O$6,1,TRUE),M223&lt;=VLOOKUP(M223,データ!$K$3:$O$6,2,TRUE)),VLOOKUP(M223,データ!$K$3:$O$6,3,TRUE),"")</f>
        <v>0.41666666666666669</v>
      </c>
      <c r="C223" s="1">
        <f>IF(AND(M223&gt;=VLOOKUP(M223,データ!$K$11:$O$16,1,TRUE),M223&lt;=VLOOKUP(M223,データ!$K$11:$O$16,2,TRUE)),VLOOKUP(M223,データ!$K$11:$O$16,5,TRUE),0)</f>
        <v>0</v>
      </c>
      <c r="D223" s="74" t="str">
        <f>IF(AND(M223&gt;=VLOOKUP(M223,データ!$K$11:$O$16,1,TRUE),M223&lt;=VLOOKUP(M223,データ!$K$11:$O$16,2,TRUE)),VLOOKUP(M223,データ!$K$11:$O$16,3,TRUE),"")</f>
        <v/>
      </c>
      <c r="E223" s="74">
        <f t="shared" si="213"/>
        <v>0.41666666666666669</v>
      </c>
      <c r="F223" s="75">
        <f>VLOOKUP(E223,データ!$K$20:$O$24,5,FALSE)</f>
        <v>0</v>
      </c>
      <c r="G223" s="74">
        <f>IF(AND(M223&gt;=VLOOKUP(M223,データ!$K$3:$O$6,1,TRUE),M223&lt;=VLOOKUP(M223,データ!$K$3:$O$6,2,TRUE)),VLOOKUP(M223,データ!$K$3:$O$6,4,TRUE),"")</f>
        <v>0.70833333333333337</v>
      </c>
      <c r="H223" s="256">
        <f>INDEX(データ!L$21:N$24,MATCH(配置表!E223,データ!K$21:K$24,0),MATCH(配置表!G223,データ!L$20:N$20,0))</f>
        <v>1</v>
      </c>
      <c r="I223" s="52" t="str">
        <f>IF(ISERROR(VLOOKUP(M223,データ!$A$3:$C$20,3,FALSE)),"",VLOOKUP(M223,データ!$A$3:$C$20,3,FALSE))</f>
        <v/>
      </c>
      <c r="J223" s="52" t="str">
        <f t="shared" si="214"/>
        <v/>
      </c>
      <c r="K223" s="53">
        <f t="shared" si="225"/>
        <v>0</v>
      </c>
      <c r="L223" s="28" t="str">
        <f t="shared" si="215"/>
        <v/>
      </c>
      <c r="M223" s="9">
        <f t="shared" si="226"/>
        <v>45949</v>
      </c>
      <c r="N223" s="10" t="str">
        <f t="shared" si="216"/>
        <v>日</v>
      </c>
      <c r="O223" s="63" t="str">
        <f>IF(AND(M223&gt;=VLOOKUP(M223,データ!$E$3:$G$9,1,TRUE),M223&lt;=VLOOKUP(M223,データ!$E$3:$G$9,2,TRUE)),VLOOKUP(M223,データ!$E$3:$G$9,3,TRUE),"")</f>
        <v>秋　特別展</v>
      </c>
      <c r="P223" s="63" t="str">
        <f>IF(AND(M223&gt;=VLOOKUP(M223,データ!$E$14:$G$21,1,TRUE),M223&lt;=VLOOKUP(M223,データ!$E$14:$G$21,2,TRUE)),VLOOKUP(M223,データ!$E$14:$G$21,3,TRUE),"")</f>
        <v>テーマ展</v>
      </c>
      <c r="Q223" s="44" t="str">
        <f t="shared" si="217"/>
        <v>○</v>
      </c>
      <c r="R223" s="10"/>
      <c r="S223" s="10" t="str">
        <f t="shared" si="242"/>
        <v>○</v>
      </c>
      <c r="T223" s="45"/>
      <c r="U223" s="33" t="str">
        <f t="shared" si="240"/>
        <v>●</v>
      </c>
      <c r="V223" s="32"/>
      <c r="W223" s="33" t="str">
        <f t="shared" si="243"/>
        <v>◎</v>
      </c>
      <c r="X223" s="32"/>
      <c r="Y223" s="33" t="str">
        <f t="shared" si="221"/>
        <v>○</v>
      </c>
      <c r="Z223" s="32">
        <f>IF(L223="閉","",(IF(AND(M223&gt;=VLOOKUP(M223,データ!$E$3:$G$9,1,TRUE),M223&lt;=VLOOKUP(M223,データ!$E$3:$G$9,2,TRUE)),VLOOKUP(M223,データ!$E$3:$H$9,4,TRUE),0)+IF(AND(M223&gt;=VLOOKUP(M223,データ!$E$14:$G$21,1,TRUE),M223&lt;=VLOOKUP(M223,データ!$E$14:$G$21,2,TRUE)),VLOOKUP(M223,データ!$E$14:$H$21,4,TRUE),0)))</f>
        <v>5</v>
      </c>
      <c r="AA223" s="33" t="str">
        <f t="shared" si="222"/>
        <v>○</v>
      </c>
      <c r="AB223" s="227">
        <f t="shared" si="223"/>
        <v>0.41666666666666669</v>
      </c>
      <c r="AC223" s="227">
        <f t="shared" si="224"/>
        <v>0.70833333333333337</v>
      </c>
      <c r="AD223" s="228" t="str">
        <f>IF(K223=1,IF(ISERROR(VLOOKUP(M223,データ!$A$3:$C$23,2,FALSE)),"",VLOOKUP(M223,データ!$A$3:$C$23,2,FALSE)),(IF(ISERROR(VLOOKUP(M223,データ!$A$3:$C$23,2,FALSE)),"",VLOOKUP(M223,データ!$A$3:$C$23,2,FALSE))))</f>
        <v/>
      </c>
    </row>
    <row r="224" spans="1:30">
      <c r="A224" s="1">
        <f>IF(AND(M224&gt;=VLOOKUP(M224,データ!$K$3:$O$6,1,TRUE),M224&lt;=VLOOKUP(M224,データ!$K$3:$O$6,2,TRUE)),VLOOKUP(M224,データ!$K$3:$O$6,5,TRUE),"")</f>
        <v>1</v>
      </c>
      <c r="B224" s="74">
        <f>IF(AND(M224&gt;=VLOOKUP(M224,データ!$K$3:$O$6,1,TRUE),M224&lt;=VLOOKUP(M224,データ!$K$3:$O$6,2,TRUE)),VLOOKUP(M224,データ!$K$3:$O$6,3,TRUE),"")</f>
        <v>0.41666666666666669</v>
      </c>
      <c r="C224" s="1">
        <f>IF(AND(M224&gt;=VLOOKUP(M224,データ!$K$11:$O$16,1,TRUE),M224&lt;=VLOOKUP(M224,データ!$K$11:$O$16,2,TRUE)),VLOOKUP(M224,データ!$K$11:$O$16,5,TRUE),0)</f>
        <v>0</v>
      </c>
      <c r="D224" s="74" t="str">
        <f>IF(AND(M224&gt;=VLOOKUP(M224,データ!$K$11:$O$16,1,TRUE),M224&lt;=VLOOKUP(M224,データ!$K$11:$O$16,2,TRUE)),VLOOKUP(M224,データ!$K$11:$O$16,3,TRUE),"")</f>
        <v/>
      </c>
      <c r="E224" s="74">
        <f t="shared" si="213"/>
        <v>0.41666666666666669</v>
      </c>
      <c r="F224" s="75">
        <f>VLOOKUP(E224,データ!$K$20:$O$24,5,FALSE)</f>
        <v>0</v>
      </c>
      <c r="G224" s="74">
        <f>IF(AND(M224&gt;=VLOOKUP(M224,データ!$K$3:$O$6,1,TRUE),M224&lt;=VLOOKUP(M224,データ!$K$3:$O$6,2,TRUE)),VLOOKUP(M224,データ!$K$3:$O$6,4,TRUE),"")</f>
        <v>0.70833333333333337</v>
      </c>
      <c r="H224" s="256">
        <f>INDEX(データ!L$21:N$24,MATCH(配置表!E224,データ!K$21:K$24,0),MATCH(配置表!G224,データ!L$20:N$20,0))</f>
        <v>1</v>
      </c>
      <c r="I224" s="52" t="str">
        <f>IF(ISERROR(VLOOKUP(M224,データ!$A$3:$C$20,3,FALSE)),"",VLOOKUP(M224,データ!$A$3:$C$20,3,FALSE))</f>
        <v/>
      </c>
      <c r="J224" s="52">
        <f t="shared" si="214"/>
        <v>1</v>
      </c>
      <c r="K224" s="53">
        <f t="shared" si="225"/>
        <v>1</v>
      </c>
      <c r="L224" s="28" t="str">
        <f t="shared" si="215"/>
        <v>閉</v>
      </c>
      <c r="M224" s="9">
        <f t="shared" si="226"/>
        <v>45950</v>
      </c>
      <c r="N224" s="10" t="str">
        <f t="shared" si="216"/>
        <v>月</v>
      </c>
      <c r="O224" s="63" t="str">
        <f>IF(AND(M224&gt;=VLOOKUP(M224,データ!$E$3:$G$9,1,TRUE),M224&lt;=VLOOKUP(M224,データ!$E$3:$G$9,2,TRUE)),VLOOKUP(M224,データ!$E$3:$G$9,3,TRUE),"")</f>
        <v>秋　特別展</v>
      </c>
      <c r="P224" s="63" t="str">
        <f>IF(AND(M224&gt;=VLOOKUP(M224,データ!$E$14:$G$21,1,TRUE),M224&lt;=VLOOKUP(M224,データ!$E$14:$G$21,2,TRUE)),VLOOKUP(M224,データ!$E$14:$G$21,3,TRUE),"")</f>
        <v>テーマ展</v>
      </c>
      <c r="Q224" s="44" t="str">
        <f t="shared" si="217"/>
        <v>休</v>
      </c>
      <c r="R224" s="32"/>
      <c r="S224" s="10" t="str">
        <f t="shared" si="229"/>
        <v>休</v>
      </c>
      <c r="T224" s="32"/>
      <c r="U224" s="33" t="str">
        <f t="shared" si="230"/>
        <v>休</v>
      </c>
      <c r="V224" s="32"/>
      <c r="W224" s="33" t="str">
        <f t="shared" si="231"/>
        <v>休</v>
      </c>
      <c r="X224" s="32"/>
      <c r="Y224" s="33" t="str">
        <f t="shared" si="221"/>
        <v>休</v>
      </c>
      <c r="Z224" s="32" t="str">
        <f>IF(L224="閉","",(IF(AND(M224&gt;=VLOOKUP(M224,データ!$E$3:$G$9,1,TRUE),M224&lt;=VLOOKUP(M224,データ!$E$3:$G$9,2,TRUE)),VLOOKUP(M224,データ!$E$3:$H$9,4,TRUE),0)+IF(AND(M224&gt;=VLOOKUP(M224,データ!$E$14:$G$21,1,TRUE),M224&lt;=VLOOKUP(M224,データ!$E$14:$G$21,2,TRUE)),VLOOKUP(M224,データ!$E$14:$H$21,4,TRUE),0)))</f>
        <v/>
      </c>
      <c r="AA224" s="33" t="str">
        <f t="shared" si="222"/>
        <v>休</v>
      </c>
      <c r="AB224" s="227" t="str">
        <f t="shared" si="223"/>
        <v/>
      </c>
      <c r="AC224" s="227" t="str">
        <f t="shared" si="224"/>
        <v/>
      </c>
      <c r="AD224" s="228" t="str">
        <f>IF(K224=1,IF(ISERROR(VLOOKUP(M224,データ!$A$3:$C$23,2,FALSE)),"",VLOOKUP(M224,データ!$A$3:$C$23,2,FALSE)),(IF(ISERROR(VLOOKUP(M224,データ!$A$3:$C$23,2,FALSE)),"",VLOOKUP(M224,データ!$A$3:$C$23,2,FALSE))))</f>
        <v/>
      </c>
    </row>
    <row r="225" spans="1:30">
      <c r="A225" s="1">
        <f>IF(AND(M225&gt;=VLOOKUP(M225,データ!$K$3:$O$6,1,TRUE),M225&lt;=VLOOKUP(M225,データ!$K$3:$O$6,2,TRUE)),VLOOKUP(M225,データ!$K$3:$O$6,5,TRUE),"")</f>
        <v>1</v>
      </c>
      <c r="B225" s="74">
        <f>IF(AND(M225&gt;=VLOOKUP(M225,データ!$K$3:$O$6,1,TRUE),M225&lt;=VLOOKUP(M225,データ!$K$3:$O$6,2,TRUE)),VLOOKUP(M225,データ!$K$3:$O$6,3,TRUE),"")</f>
        <v>0.41666666666666669</v>
      </c>
      <c r="C225" s="1">
        <f>IF(AND(M225&gt;=VLOOKUP(M225,データ!$K$11:$O$16,1,TRUE),M225&lt;=VLOOKUP(M225,データ!$K$11:$O$16,2,TRUE)),VLOOKUP(M225,データ!$K$11:$O$16,5,TRUE),0)</f>
        <v>0</v>
      </c>
      <c r="D225" s="74" t="str">
        <f>IF(AND(M225&gt;=VLOOKUP(M225,データ!$K$11:$O$16,1,TRUE),M225&lt;=VLOOKUP(M225,データ!$K$11:$O$16,2,TRUE)),VLOOKUP(M225,データ!$K$11:$O$16,3,TRUE),"")</f>
        <v/>
      </c>
      <c r="E225" s="74">
        <f t="shared" si="213"/>
        <v>0.41666666666666669</v>
      </c>
      <c r="F225" s="75">
        <f>VLOOKUP(E225,データ!$K$20:$O$24,5,FALSE)</f>
        <v>0</v>
      </c>
      <c r="G225" s="74">
        <f>IF(AND(M225&gt;=VLOOKUP(M225,データ!$K$3:$O$6,1,TRUE),M225&lt;=VLOOKUP(M225,データ!$K$3:$O$6,2,TRUE)),VLOOKUP(M225,データ!$K$3:$O$6,4,TRUE),"")</f>
        <v>0.70833333333333337</v>
      </c>
      <c r="H225" s="256">
        <f>INDEX(データ!L$21:N$24,MATCH(配置表!E225,データ!K$21:K$24,0),MATCH(配置表!G225,データ!L$20:N$20,0))</f>
        <v>1</v>
      </c>
      <c r="I225" s="52" t="str">
        <f>IF(ISERROR(VLOOKUP(M225,データ!$A$3:$C$20,3,FALSE)),"",VLOOKUP(M225,データ!$A$3:$C$20,3,FALSE))</f>
        <v/>
      </c>
      <c r="J225" s="52" t="str">
        <f t="shared" si="214"/>
        <v/>
      </c>
      <c r="K225" s="53">
        <f t="shared" si="225"/>
        <v>0</v>
      </c>
      <c r="L225" s="28" t="str">
        <f t="shared" si="215"/>
        <v/>
      </c>
      <c r="M225" s="9">
        <f t="shared" si="226"/>
        <v>45951</v>
      </c>
      <c r="N225" s="10" t="str">
        <f t="shared" si="216"/>
        <v>火</v>
      </c>
      <c r="O225" s="63" t="str">
        <f>IF(AND(M225&gt;=VLOOKUP(M225,データ!$E$3:$G$9,1,TRUE),M225&lt;=VLOOKUP(M225,データ!$E$3:$G$9,2,TRUE)),VLOOKUP(M225,データ!$E$3:$G$9,3,TRUE),"")</f>
        <v>秋　特別展</v>
      </c>
      <c r="P225" s="63" t="str">
        <f>IF(AND(M225&gt;=VLOOKUP(M225,データ!$E$14:$G$21,1,TRUE),M225&lt;=VLOOKUP(M225,データ!$E$14:$G$21,2,TRUE)),VLOOKUP(M225,データ!$E$14:$G$21,3,TRUE),"")</f>
        <v>テーマ展</v>
      </c>
      <c r="Q225" s="44" t="str">
        <f t="shared" si="217"/>
        <v>○</v>
      </c>
      <c r="R225" s="10"/>
      <c r="S225" s="33" t="str">
        <f t="shared" ref="S225:S228" si="244">IF(H225="閉","休",IF(K225="","",IF(OR(J225="土",J225="日",E225=1),IF(OR(K225="ダミー　特別展",K225="ダミー　特別展"),"◎",IF(OR(K225="夏　特別展",K225="秋　特別展",K225="春　特別展"),"○","")),"")))</f>
        <v/>
      </c>
      <c r="T225" s="45"/>
      <c r="U225" s="33" t="str">
        <f t="shared" ref="U225:U230" si="245">IF(L225="閉","休",IF(S225="","●","●"))</f>
        <v>●</v>
      </c>
      <c r="V225" s="32"/>
      <c r="W225" s="33" t="str">
        <f t="shared" ref="W225:W228" si="246">IF(P225="閉","休",IF(O225="","",IF(O225="冬　特別展",IF(OR(N225="土",N225="日",M225=1),"○",""),"○")))</f>
        <v>○</v>
      </c>
      <c r="X225" s="32"/>
      <c r="Y225" s="33" t="str">
        <f t="shared" si="221"/>
        <v>○</v>
      </c>
      <c r="Z225" s="32">
        <f>IF(L225="閉","",(IF(AND(M225&gt;=VLOOKUP(M225,データ!$E$3:$G$9,1,TRUE),M225&lt;=VLOOKUP(M225,データ!$E$3:$G$9,2,TRUE)),VLOOKUP(M225,データ!$E$3:$H$9,4,TRUE),0)+IF(AND(M225&gt;=VLOOKUP(M225,データ!$E$14:$G$21,1,TRUE),M225&lt;=VLOOKUP(M225,データ!$E$14:$G$21,2,TRUE)),VLOOKUP(M225,データ!$E$14:$H$21,4,TRUE),0)))</f>
        <v>5</v>
      </c>
      <c r="AA225" s="33" t="str">
        <f t="shared" si="222"/>
        <v>○</v>
      </c>
      <c r="AB225" s="227">
        <f t="shared" si="223"/>
        <v>0.41666666666666669</v>
      </c>
      <c r="AC225" s="227">
        <f t="shared" si="224"/>
        <v>0.70833333333333337</v>
      </c>
      <c r="AD225" s="228" t="str">
        <f>IF(K225=1,IF(ISERROR(VLOOKUP(M225,データ!$A$3:$C$23,2,FALSE)),"",VLOOKUP(M225,データ!$A$3:$C$23,2,FALSE)),(IF(ISERROR(VLOOKUP(M225,データ!$A$3:$C$23,2,FALSE)),"",VLOOKUP(M225,データ!$A$3:$C$23,2,FALSE))))</f>
        <v/>
      </c>
    </row>
    <row r="226" spans="1:30">
      <c r="A226" s="1">
        <f>IF(AND(M226&gt;=VLOOKUP(M226,データ!$K$3:$O$6,1,TRUE),M226&lt;=VLOOKUP(M226,データ!$K$3:$O$6,2,TRUE)),VLOOKUP(M226,データ!$K$3:$O$6,5,TRUE),"")</f>
        <v>1</v>
      </c>
      <c r="B226" s="74">
        <f>IF(AND(M226&gt;=VLOOKUP(M226,データ!$K$3:$O$6,1,TRUE),M226&lt;=VLOOKUP(M226,データ!$K$3:$O$6,2,TRUE)),VLOOKUP(M226,データ!$K$3:$O$6,3,TRUE),"")</f>
        <v>0.41666666666666669</v>
      </c>
      <c r="C226" s="1">
        <f>IF(AND(M226&gt;=VLOOKUP(M226,データ!$K$11:$O$16,1,TRUE),M226&lt;=VLOOKUP(M226,データ!$K$11:$O$16,2,TRUE)),VLOOKUP(M226,データ!$K$11:$O$16,5,TRUE),0)</f>
        <v>0</v>
      </c>
      <c r="D226" s="74" t="str">
        <f>IF(AND(M226&gt;=VLOOKUP(M226,データ!$K$11:$O$16,1,TRUE),M226&lt;=VLOOKUP(M226,データ!$K$11:$O$16,2,TRUE)),VLOOKUP(M226,データ!$K$11:$O$16,3,TRUE),"")</f>
        <v/>
      </c>
      <c r="E226" s="74">
        <f t="shared" si="213"/>
        <v>0.41666666666666669</v>
      </c>
      <c r="F226" s="75">
        <f>VLOOKUP(E226,データ!$K$20:$O$24,5,FALSE)</f>
        <v>0</v>
      </c>
      <c r="G226" s="74">
        <f>IF(AND(M226&gt;=VLOOKUP(M226,データ!$K$3:$O$6,1,TRUE),M226&lt;=VLOOKUP(M226,データ!$K$3:$O$6,2,TRUE)),VLOOKUP(M226,データ!$K$3:$O$6,4,TRUE),"")</f>
        <v>0.70833333333333337</v>
      </c>
      <c r="H226" s="256">
        <f>INDEX(データ!L$21:N$24,MATCH(配置表!E226,データ!K$21:K$24,0),MATCH(配置表!G226,データ!L$20:N$20,0))</f>
        <v>1</v>
      </c>
      <c r="I226" s="52" t="str">
        <f>IF(ISERROR(VLOOKUP(M226,データ!$A$3:$C$20,3,FALSE)),"",VLOOKUP(M226,データ!$A$3:$C$20,3,FALSE))</f>
        <v/>
      </c>
      <c r="J226" s="52" t="str">
        <f t="shared" si="214"/>
        <v/>
      </c>
      <c r="K226" s="53">
        <f t="shared" si="225"/>
        <v>0</v>
      </c>
      <c r="L226" s="28" t="str">
        <f t="shared" si="215"/>
        <v/>
      </c>
      <c r="M226" s="9">
        <f t="shared" si="226"/>
        <v>45952</v>
      </c>
      <c r="N226" s="10" t="str">
        <f t="shared" si="216"/>
        <v>水</v>
      </c>
      <c r="O226" s="63" t="str">
        <f>IF(AND(M226&gt;=VLOOKUP(M226,データ!$E$3:$G$9,1,TRUE),M226&lt;=VLOOKUP(M226,データ!$E$3:$G$9,2,TRUE)),VLOOKUP(M226,データ!$E$3:$G$9,3,TRUE),"")</f>
        <v>秋　特別展</v>
      </c>
      <c r="P226" s="63" t="str">
        <f>IF(AND(M226&gt;=VLOOKUP(M226,データ!$E$14:$G$21,1,TRUE),M226&lt;=VLOOKUP(M226,データ!$E$14:$G$21,2,TRUE)),VLOOKUP(M226,データ!$E$14:$G$21,3,TRUE),"")</f>
        <v>テーマ展</v>
      </c>
      <c r="Q226" s="44" t="str">
        <f t="shared" si="217"/>
        <v>○</v>
      </c>
      <c r="R226" s="10"/>
      <c r="S226" s="33" t="str">
        <f t="shared" si="244"/>
        <v/>
      </c>
      <c r="T226" s="45"/>
      <c r="U226" s="33" t="str">
        <f t="shared" si="245"/>
        <v>●</v>
      </c>
      <c r="V226" s="32"/>
      <c r="W226" s="33" t="str">
        <f t="shared" si="246"/>
        <v>○</v>
      </c>
      <c r="X226" s="32"/>
      <c r="Y226" s="33" t="str">
        <f t="shared" si="221"/>
        <v>○</v>
      </c>
      <c r="Z226" s="32">
        <f>IF(L226="閉","",(IF(AND(M226&gt;=VLOOKUP(M226,データ!$E$3:$G$9,1,TRUE),M226&lt;=VLOOKUP(M226,データ!$E$3:$G$9,2,TRUE)),VLOOKUP(M226,データ!$E$3:$H$9,4,TRUE),0)+IF(AND(M226&gt;=VLOOKUP(M226,データ!$E$14:$G$21,1,TRUE),M226&lt;=VLOOKUP(M226,データ!$E$14:$G$21,2,TRUE)),VLOOKUP(M226,データ!$E$14:$H$21,4,TRUE),0)))</f>
        <v>5</v>
      </c>
      <c r="AA226" s="33" t="str">
        <f t="shared" si="222"/>
        <v>○</v>
      </c>
      <c r="AB226" s="227">
        <f t="shared" si="223"/>
        <v>0.41666666666666669</v>
      </c>
      <c r="AC226" s="227">
        <f t="shared" si="224"/>
        <v>0.70833333333333337</v>
      </c>
      <c r="AD226" s="228" t="str">
        <f>IF(K226=1,IF(ISERROR(VLOOKUP(M226,データ!$A$3:$C$23,2,FALSE)),"",VLOOKUP(M226,データ!$A$3:$C$23,2,FALSE)),(IF(ISERROR(VLOOKUP(M226,データ!$A$3:$C$23,2,FALSE)),"",VLOOKUP(M226,データ!$A$3:$C$23,2,FALSE))))</f>
        <v/>
      </c>
    </row>
    <row r="227" spans="1:30">
      <c r="A227" s="1">
        <f>IF(AND(M227&gt;=VLOOKUP(M227,データ!$K$3:$O$6,1,TRUE),M227&lt;=VLOOKUP(M227,データ!$K$3:$O$6,2,TRUE)),VLOOKUP(M227,データ!$K$3:$O$6,5,TRUE),"")</f>
        <v>1</v>
      </c>
      <c r="B227" s="74">
        <f>IF(AND(M227&gt;=VLOOKUP(M227,データ!$K$3:$O$6,1,TRUE),M227&lt;=VLOOKUP(M227,データ!$K$3:$O$6,2,TRUE)),VLOOKUP(M227,データ!$K$3:$O$6,3,TRUE),"")</f>
        <v>0.41666666666666669</v>
      </c>
      <c r="C227" s="1">
        <f>IF(AND(M227&gt;=VLOOKUP(M227,データ!$K$11:$O$16,1,TRUE),M227&lt;=VLOOKUP(M227,データ!$K$11:$O$16,2,TRUE)),VLOOKUP(M227,データ!$K$11:$O$16,5,TRUE),0)</f>
        <v>0</v>
      </c>
      <c r="D227" s="74" t="str">
        <f>IF(AND(M227&gt;=VLOOKUP(M227,データ!$K$11:$O$16,1,TRUE),M227&lt;=VLOOKUP(M227,データ!$K$11:$O$16,2,TRUE)),VLOOKUP(M227,データ!$K$11:$O$16,3,TRUE),"")</f>
        <v/>
      </c>
      <c r="E227" s="74">
        <f t="shared" si="213"/>
        <v>0.41666666666666669</v>
      </c>
      <c r="F227" s="75">
        <f>VLOOKUP(E227,データ!$K$20:$O$24,5,FALSE)</f>
        <v>0</v>
      </c>
      <c r="G227" s="74">
        <f>IF(AND(M227&gt;=VLOOKUP(M227,データ!$K$3:$O$6,1,TRUE),M227&lt;=VLOOKUP(M227,データ!$K$3:$O$6,2,TRUE)),VLOOKUP(M227,データ!$K$3:$O$6,4,TRUE),"")</f>
        <v>0.70833333333333337</v>
      </c>
      <c r="H227" s="256">
        <f>INDEX(データ!L$21:N$24,MATCH(配置表!E227,データ!K$21:K$24,0),MATCH(配置表!G227,データ!L$20:N$20,0))</f>
        <v>1</v>
      </c>
      <c r="I227" s="52" t="str">
        <f>IF(ISERROR(VLOOKUP(M227,データ!$A$3:$C$20,3,FALSE)),"",VLOOKUP(M227,データ!$A$3:$C$20,3,FALSE))</f>
        <v/>
      </c>
      <c r="J227" s="52" t="str">
        <f t="shared" si="214"/>
        <v/>
      </c>
      <c r="K227" s="53">
        <f t="shared" si="225"/>
        <v>0</v>
      </c>
      <c r="L227" s="28" t="str">
        <f t="shared" si="215"/>
        <v/>
      </c>
      <c r="M227" s="9">
        <f t="shared" si="226"/>
        <v>45953</v>
      </c>
      <c r="N227" s="10" t="str">
        <f t="shared" si="216"/>
        <v>木</v>
      </c>
      <c r="O227" s="63" t="str">
        <f>IF(AND(M227&gt;=VLOOKUP(M227,データ!$E$3:$G$9,1,TRUE),M227&lt;=VLOOKUP(M227,データ!$E$3:$G$9,2,TRUE)),VLOOKUP(M227,データ!$E$3:$G$9,3,TRUE),"")</f>
        <v>秋　特別展</v>
      </c>
      <c r="P227" s="63" t="str">
        <f>IF(AND(M227&gt;=VLOOKUP(M227,データ!$E$14:$G$21,1,TRUE),M227&lt;=VLOOKUP(M227,データ!$E$14:$G$21,2,TRUE)),VLOOKUP(M227,データ!$E$14:$G$21,3,TRUE),"")</f>
        <v>テーマ展</v>
      </c>
      <c r="Q227" s="44" t="str">
        <f t="shared" si="217"/>
        <v>○</v>
      </c>
      <c r="R227" s="10"/>
      <c r="S227" s="33" t="str">
        <f t="shared" si="244"/>
        <v/>
      </c>
      <c r="T227" s="45"/>
      <c r="U227" s="33" t="str">
        <f t="shared" si="245"/>
        <v>●</v>
      </c>
      <c r="V227" s="32"/>
      <c r="W227" s="33" t="str">
        <f t="shared" si="246"/>
        <v>○</v>
      </c>
      <c r="X227" s="32"/>
      <c r="Y227" s="33" t="str">
        <f t="shared" si="221"/>
        <v>○</v>
      </c>
      <c r="Z227" s="32">
        <f>IF(L227="閉","",(IF(AND(M227&gt;=VLOOKUP(M227,データ!$E$3:$G$9,1,TRUE),M227&lt;=VLOOKUP(M227,データ!$E$3:$G$9,2,TRUE)),VLOOKUP(M227,データ!$E$3:$H$9,4,TRUE),0)+IF(AND(M227&gt;=VLOOKUP(M227,データ!$E$14:$G$21,1,TRUE),M227&lt;=VLOOKUP(M227,データ!$E$14:$G$21,2,TRUE)),VLOOKUP(M227,データ!$E$14:$H$21,4,TRUE),0)))</f>
        <v>5</v>
      </c>
      <c r="AA227" s="33" t="str">
        <f t="shared" si="222"/>
        <v>○</v>
      </c>
      <c r="AB227" s="227">
        <f t="shared" si="223"/>
        <v>0.41666666666666669</v>
      </c>
      <c r="AC227" s="227">
        <f t="shared" si="224"/>
        <v>0.70833333333333337</v>
      </c>
      <c r="AD227" s="228" t="str">
        <f>IF(K227=1,IF(ISERROR(VLOOKUP(M227,データ!$A$3:$C$23,2,FALSE)),"",VLOOKUP(M227,データ!$A$3:$C$23,2,FALSE)),(IF(ISERROR(VLOOKUP(M227,データ!$A$3:$C$23,2,FALSE)),"",VLOOKUP(M227,データ!$A$3:$C$23,2,FALSE))))</f>
        <v/>
      </c>
    </row>
    <row r="228" spans="1:30">
      <c r="A228" s="1">
        <f>IF(AND(M228&gt;=VLOOKUP(M228,データ!$K$3:$O$6,1,TRUE),M228&lt;=VLOOKUP(M228,データ!$K$3:$O$6,2,TRUE)),VLOOKUP(M228,データ!$K$3:$O$6,5,TRUE),"")</f>
        <v>1</v>
      </c>
      <c r="B228" s="74">
        <f>IF(AND(M228&gt;=VLOOKUP(M228,データ!$K$3:$O$6,1,TRUE),M228&lt;=VLOOKUP(M228,データ!$K$3:$O$6,2,TRUE)),VLOOKUP(M228,データ!$K$3:$O$6,3,TRUE),"")</f>
        <v>0.41666666666666669</v>
      </c>
      <c r="C228" s="1">
        <f>IF(AND(M228&gt;=VLOOKUP(M228,データ!$K$11:$O$16,1,TRUE),M228&lt;=VLOOKUP(M228,データ!$K$11:$O$16,2,TRUE)),VLOOKUP(M228,データ!$K$11:$O$16,5,TRUE),0)</f>
        <v>0</v>
      </c>
      <c r="D228" s="74" t="str">
        <f>IF(AND(M228&gt;=VLOOKUP(M228,データ!$K$11:$O$16,1,TRUE),M228&lt;=VLOOKUP(M228,データ!$K$11:$O$16,2,TRUE)),VLOOKUP(M228,データ!$K$11:$O$16,3,TRUE),"")</f>
        <v/>
      </c>
      <c r="E228" s="74">
        <f t="shared" si="213"/>
        <v>0.41666666666666669</v>
      </c>
      <c r="F228" s="75">
        <f>VLOOKUP(E228,データ!$K$20:$O$24,5,FALSE)</f>
        <v>0</v>
      </c>
      <c r="G228" s="74">
        <f>IF(AND(M228&gt;=VLOOKUP(M228,データ!$K$3:$O$6,1,TRUE),M228&lt;=VLOOKUP(M228,データ!$K$3:$O$6,2,TRUE)),VLOOKUP(M228,データ!$K$3:$O$6,4,TRUE),"")</f>
        <v>0.70833333333333337</v>
      </c>
      <c r="H228" s="256">
        <f>INDEX(データ!L$21:N$24,MATCH(配置表!E228,データ!K$21:K$24,0),MATCH(配置表!G228,データ!L$20:N$20,0))</f>
        <v>1</v>
      </c>
      <c r="I228" s="52" t="str">
        <f>IF(ISERROR(VLOOKUP(M228,データ!$A$3:$C$20,3,FALSE)),"",VLOOKUP(M228,データ!$A$3:$C$20,3,FALSE))</f>
        <v/>
      </c>
      <c r="J228" s="52" t="str">
        <f t="shared" si="214"/>
        <v/>
      </c>
      <c r="K228" s="53">
        <f t="shared" si="225"/>
        <v>0</v>
      </c>
      <c r="L228" s="28" t="str">
        <f t="shared" si="215"/>
        <v/>
      </c>
      <c r="M228" s="9">
        <f t="shared" si="226"/>
        <v>45954</v>
      </c>
      <c r="N228" s="10" t="str">
        <f t="shared" si="216"/>
        <v>金</v>
      </c>
      <c r="O228" s="63" t="str">
        <f>IF(AND(M228&gt;=VLOOKUP(M228,データ!$E$3:$G$9,1,TRUE),M228&lt;=VLOOKUP(M228,データ!$E$3:$G$9,2,TRUE)),VLOOKUP(M228,データ!$E$3:$G$9,3,TRUE),"")</f>
        <v>秋　特別展</v>
      </c>
      <c r="P228" s="63" t="str">
        <f>IF(AND(M228&gt;=VLOOKUP(M228,データ!$E$14:$G$21,1,TRUE),M228&lt;=VLOOKUP(M228,データ!$E$14:$G$21,2,TRUE)),VLOOKUP(M228,データ!$E$14:$G$21,3,TRUE),"")</f>
        <v>テーマ展</v>
      </c>
      <c r="Q228" s="44" t="str">
        <f t="shared" si="217"/>
        <v>○</v>
      </c>
      <c r="R228" s="10"/>
      <c r="S228" s="33" t="str">
        <f t="shared" si="244"/>
        <v/>
      </c>
      <c r="T228" s="45"/>
      <c r="U228" s="33" t="str">
        <f t="shared" si="245"/>
        <v>●</v>
      </c>
      <c r="V228" s="32"/>
      <c r="W228" s="33" t="str">
        <f t="shared" si="246"/>
        <v>○</v>
      </c>
      <c r="X228" s="32"/>
      <c r="Y228" s="33" t="str">
        <f t="shared" si="221"/>
        <v>○</v>
      </c>
      <c r="Z228" s="32">
        <f>IF(L228="閉","",(IF(AND(M228&gt;=VLOOKUP(M228,データ!$E$3:$G$9,1,TRUE),M228&lt;=VLOOKUP(M228,データ!$E$3:$G$9,2,TRUE)),VLOOKUP(M228,データ!$E$3:$H$9,4,TRUE),0)+IF(AND(M228&gt;=VLOOKUP(M228,データ!$E$14:$G$21,1,TRUE),M228&lt;=VLOOKUP(M228,データ!$E$14:$G$21,2,TRUE)),VLOOKUP(M228,データ!$E$14:$H$21,4,TRUE),0)))</f>
        <v>5</v>
      </c>
      <c r="AA228" s="33" t="str">
        <f t="shared" si="222"/>
        <v>○</v>
      </c>
      <c r="AB228" s="227">
        <f t="shared" si="223"/>
        <v>0.41666666666666669</v>
      </c>
      <c r="AC228" s="227">
        <f t="shared" si="224"/>
        <v>0.70833333333333337</v>
      </c>
      <c r="AD228" s="228" t="str">
        <f>IF(K228=1,IF(ISERROR(VLOOKUP(M228,データ!$A$3:$C$23,2,FALSE)),"",VLOOKUP(M228,データ!$A$3:$C$23,2,FALSE)),(IF(ISERROR(VLOOKUP(M228,データ!$A$3:$C$23,2,FALSE)),"",VLOOKUP(M228,データ!$A$3:$C$23,2,FALSE))))</f>
        <v/>
      </c>
    </row>
    <row r="229" spans="1:30">
      <c r="A229" s="1">
        <f>IF(AND(M229&gt;=VLOOKUP(M229,データ!$K$3:$O$6,1,TRUE),M229&lt;=VLOOKUP(M229,データ!$K$3:$O$6,2,TRUE)),VLOOKUP(M229,データ!$K$3:$O$6,5,TRUE),"")</f>
        <v>1</v>
      </c>
      <c r="B229" s="74">
        <f>IF(AND(M229&gt;=VLOOKUP(M229,データ!$K$3:$O$6,1,TRUE),M229&lt;=VLOOKUP(M229,データ!$K$3:$O$6,2,TRUE)),VLOOKUP(M229,データ!$K$3:$O$6,3,TRUE),"")</f>
        <v>0.41666666666666669</v>
      </c>
      <c r="C229" s="1">
        <f>IF(AND(M229&gt;=VLOOKUP(M229,データ!$K$11:$O$16,1,TRUE),M229&lt;=VLOOKUP(M229,データ!$K$11:$O$16,2,TRUE)),VLOOKUP(M229,データ!$K$11:$O$16,5,TRUE),0)</f>
        <v>0</v>
      </c>
      <c r="D229" s="74" t="str">
        <f>IF(AND(M229&gt;=VLOOKUP(M229,データ!$K$11:$O$16,1,TRUE),M229&lt;=VLOOKUP(M229,データ!$K$11:$O$16,2,TRUE)),VLOOKUP(M229,データ!$K$11:$O$16,3,TRUE),"")</f>
        <v/>
      </c>
      <c r="E229" s="74">
        <f t="shared" si="213"/>
        <v>0.41666666666666669</v>
      </c>
      <c r="F229" s="75">
        <f>VLOOKUP(E229,データ!$K$20:$O$24,5,FALSE)</f>
        <v>0</v>
      </c>
      <c r="G229" s="74">
        <f>IF(AND(M229&gt;=VLOOKUP(M229,データ!$K$3:$O$6,1,TRUE),M229&lt;=VLOOKUP(M229,データ!$K$3:$O$6,2,TRUE)),VLOOKUP(M229,データ!$K$3:$O$6,4,TRUE),"")</f>
        <v>0.70833333333333337</v>
      </c>
      <c r="H229" s="256">
        <f>INDEX(データ!L$21:N$24,MATCH(配置表!E229,データ!K$21:K$24,0),MATCH(配置表!G229,データ!L$20:N$20,0))</f>
        <v>1</v>
      </c>
      <c r="I229" s="52" t="str">
        <f>IF(ISERROR(VLOOKUP(M229,データ!$A$3:$C$20,3,FALSE)),"",VLOOKUP(M229,データ!$A$3:$C$20,3,FALSE))</f>
        <v/>
      </c>
      <c r="J229" s="52" t="str">
        <f t="shared" si="214"/>
        <v/>
      </c>
      <c r="K229" s="53">
        <f t="shared" si="225"/>
        <v>0</v>
      </c>
      <c r="L229" s="28" t="str">
        <f t="shared" si="215"/>
        <v/>
      </c>
      <c r="M229" s="9">
        <f t="shared" si="226"/>
        <v>45955</v>
      </c>
      <c r="N229" s="10" t="str">
        <f t="shared" si="216"/>
        <v>土</v>
      </c>
      <c r="O229" s="63" t="str">
        <f>IF(AND(M229&gt;=VLOOKUP(M229,データ!$E$3:$G$9,1,TRUE),M229&lt;=VLOOKUP(M229,データ!$E$3:$G$9,2,TRUE)),VLOOKUP(M229,データ!$E$3:$G$9,3,TRUE),"")</f>
        <v>秋　特別展</v>
      </c>
      <c r="P229" s="63" t="str">
        <f>IF(AND(M229&gt;=VLOOKUP(M229,データ!$E$14:$G$21,1,TRUE),M229&lt;=VLOOKUP(M229,データ!$E$14:$G$21,2,TRUE)),VLOOKUP(M229,データ!$E$14:$G$21,3,TRUE),"")</f>
        <v>テーマ展</v>
      </c>
      <c r="Q229" s="44" t="str">
        <f t="shared" si="217"/>
        <v>○</v>
      </c>
      <c r="R229" s="10"/>
      <c r="S229" s="10" t="str">
        <f t="shared" ref="S229:S230" si="247">IF(L229="閉","休",IF(O229="","",IF(O229="冬　特別展",IF(OR(N229="土",N229="日",I229=1),"○",""),"○")))</f>
        <v>○</v>
      </c>
      <c r="T229" s="45"/>
      <c r="U229" s="33" t="str">
        <f t="shared" si="245"/>
        <v>●</v>
      </c>
      <c r="V229" s="32"/>
      <c r="W229" s="33" t="str">
        <f t="shared" ref="W229:W230" si="248">IF(L229="閉","休",IF(O229="","",IF(OR(N229="土",N229="日",I229=1),IF(OR(O229="ダミー　特別展",O229="ダミー　特別展"),"◎",IF(OR(O229="夏　特別展",O229="秋　特別展",O229="春　特別展"),"◎","")),"")))</f>
        <v>◎</v>
      </c>
      <c r="X229" s="32"/>
      <c r="Y229" s="33" t="str">
        <f t="shared" si="221"/>
        <v>○</v>
      </c>
      <c r="Z229" s="32">
        <f>IF(L229="閉","",(IF(AND(M229&gt;=VLOOKUP(M229,データ!$E$3:$G$9,1,TRUE),M229&lt;=VLOOKUP(M229,データ!$E$3:$G$9,2,TRUE)),VLOOKUP(M229,データ!$E$3:$H$9,4,TRUE),0)+IF(AND(M229&gt;=VLOOKUP(M229,データ!$E$14:$G$21,1,TRUE),M229&lt;=VLOOKUP(M229,データ!$E$14:$G$21,2,TRUE)),VLOOKUP(M229,データ!$E$14:$H$21,4,TRUE),0)))</f>
        <v>5</v>
      </c>
      <c r="AA229" s="33" t="str">
        <f t="shared" si="222"/>
        <v>○</v>
      </c>
      <c r="AB229" s="227">
        <f t="shared" si="223"/>
        <v>0.41666666666666669</v>
      </c>
      <c r="AC229" s="227">
        <f t="shared" si="224"/>
        <v>0.70833333333333337</v>
      </c>
      <c r="AD229" s="228" t="str">
        <f>IF(K229=1,IF(ISERROR(VLOOKUP(M229,データ!$A$3:$C$23,2,FALSE)),"",VLOOKUP(M229,データ!$A$3:$C$23,2,FALSE)),(IF(ISERROR(VLOOKUP(M229,データ!$A$3:$C$23,2,FALSE)),"",VLOOKUP(M229,データ!$A$3:$C$23,2,FALSE))))</f>
        <v/>
      </c>
    </row>
    <row r="230" spans="1:30">
      <c r="A230" s="1">
        <f>IF(AND(M230&gt;=VLOOKUP(M230,データ!$K$3:$O$6,1,TRUE),M230&lt;=VLOOKUP(M230,データ!$K$3:$O$6,2,TRUE)),VLOOKUP(M230,データ!$K$3:$O$6,5,TRUE),"")</f>
        <v>1</v>
      </c>
      <c r="B230" s="74">
        <f>IF(AND(M230&gt;=VLOOKUP(M230,データ!$K$3:$O$6,1,TRUE),M230&lt;=VLOOKUP(M230,データ!$K$3:$O$6,2,TRUE)),VLOOKUP(M230,データ!$K$3:$O$6,3,TRUE),"")</f>
        <v>0.41666666666666669</v>
      </c>
      <c r="C230" s="1">
        <f>IF(AND(M230&gt;=VLOOKUP(M230,データ!$K$11:$O$16,1,TRUE),M230&lt;=VLOOKUP(M230,データ!$K$11:$O$16,2,TRUE)),VLOOKUP(M230,データ!$K$11:$O$16,5,TRUE),0)</f>
        <v>0</v>
      </c>
      <c r="D230" s="74" t="str">
        <f>IF(AND(M230&gt;=VLOOKUP(M230,データ!$K$11:$O$16,1,TRUE),M230&lt;=VLOOKUP(M230,データ!$K$11:$O$16,2,TRUE)),VLOOKUP(M230,データ!$K$11:$O$16,3,TRUE),"")</f>
        <v/>
      </c>
      <c r="E230" s="74">
        <f t="shared" si="213"/>
        <v>0.41666666666666669</v>
      </c>
      <c r="F230" s="75">
        <f>VLOOKUP(E230,データ!$K$20:$O$24,5,FALSE)</f>
        <v>0</v>
      </c>
      <c r="G230" s="74">
        <f>IF(AND(M230&gt;=VLOOKUP(M230,データ!$K$3:$O$6,1,TRUE),M230&lt;=VLOOKUP(M230,データ!$K$3:$O$6,2,TRUE)),VLOOKUP(M230,データ!$K$3:$O$6,4,TRUE),"")</f>
        <v>0.70833333333333337</v>
      </c>
      <c r="H230" s="256">
        <f>INDEX(データ!L$21:N$24,MATCH(配置表!E230,データ!K$21:K$24,0),MATCH(配置表!G230,データ!L$20:N$20,0))</f>
        <v>1</v>
      </c>
      <c r="I230" s="52" t="str">
        <f>IF(ISERROR(VLOOKUP(M230,データ!$A$3:$C$20,3,FALSE)),"",VLOOKUP(M230,データ!$A$3:$C$20,3,FALSE))</f>
        <v/>
      </c>
      <c r="J230" s="52" t="str">
        <f t="shared" si="214"/>
        <v/>
      </c>
      <c r="K230" s="53">
        <f t="shared" si="225"/>
        <v>0</v>
      </c>
      <c r="L230" s="28" t="str">
        <f t="shared" si="215"/>
        <v/>
      </c>
      <c r="M230" s="9">
        <f t="shared" si="226"/>
        <v>45956</v>
      </c>
      <c r="N230" s="10" t="str">
        <f t="shared" si="216"/>
        <v>日</v>
      </c>
      <c r="O230" s="63" t="str">
        <f>IF(AND(M230&gt;=VLOOKUP(M230,データ!$E$3:$G$9,1,TRUE),M230&lt;=VLOOKUP(M230,データ!$E$3:$G$9,2,TRUE)),VLOOKUP(M230,データ!$E$3:$G$9,3,TRUE),"")</f>
        <v>秋　特別展</v>
      </c>
      <c r="P230" s="63" t="str">
        <f>IF(AND(M230&gt;=VLOOKUP(M230,データ!$E$14:$G$21,1,TRUE),M230&lt;=VLOOKUP(M230,データ!$E$14:$G$21,2,TRUE)),VLOOKUP(M230,データ!$E$14:$G$21,3,TRUE),"")</f>
        <v>テーマ展</v>
      </c>
      <c r="Q230" s="44" t="str">
        <f t="shared" si="217"/>
        <v>○</v>
      </c>
      <c r="R230" s="10"/>
      <c r="S230" s="10" t="str">
        <f t="shared" si="247"/>
        <v>○</v>
      </c>
      <c r="T230" s="45"/>
      <c r="U230" s="33" t="str">
        <f t="shared" si="245"/>
        <v>●</v>
      </c>
      <c r="V230" s="32"/>
      <c r="W230" s="33" t="str">
        <f t="shared" si="248"/>
        <v>◎</v>
      </c>
      <c r="X230" s="32"/>
      <c r="Y230" s="33" t="str">
        <f t="shared" si="221"/>
        <v>○</v>
      </c>
      <c r="Z230" s="32">
        <f>IF(L230="閉","",(IF(AND(M230&gt;=VLOOKUP(M230,データ!$E$3:$G$9,1,TRUE),M230&lt;=VLOOKUP(M230,データ!$E$3:$G$9,2,TRUE)),VLOOKUP(M230,データ!$E$3:$H$9,4,TRUE),0)+IF(AND(M230&gt;=VLOOKUP(M230,データ!$E$14:$G$21,1,TRUE),M230&lt;=VLOOKUP(M230,データ!$E$14:$G$21,2,TRUE)),VLOOKUP(M230,データ!$E$14:$H$21,4,TRUE),0)))</f>
        <v>5</v>
      </c>
      <c r="AA230" s="33" t="str">
        <f t="shared" si="222"/>
        <v>○</v>
      </c>
      <c r="AB230" s="227">
        <f t="shared" si="223"/>
        <v>0.41666666666666669</v>
      </c>
      <c r="AC230" s="227">
        <f t="shared" si="224"/>
        <v>0.70833333333333337</v>
      </c>
      <c r="AD230" s="228" t="str">
        <f>IF(K230=1,IF(ISERROR(VLOOKUP(M230,データ!$A$3:$C$23,2,FALSE)),"",VLOOKUP(M230,データ!$A$3:$C$23,2,FALSE)),(IF(ISERROR(VLOOKUP(M230,データ!$A$3:$C$23,2,FALSE)),"",VLOOKUP(M230,データ!$A$3:$C$23,2,FALSE))))</f>
        <v/>
      </c>
    </row>
    <row r="231" spans="1:30">
      <c r="A231" s="1">
        <f>IF(AND(M231&gt;=VLOOKUP(M231,データ!$K$3:$O$6,1,TRUE),M231&lt;=VLOOKUP(M231,データ!$K$3:$O$6,2,TRUE)),VLOOKUP(M231,データ!$K$3:$O$6,5,TRUE),"")</f>
        <v>1</v>
      </c>
      <c r="B231" s="74">
        <f>IF(AND(M231&gt;=VLOOKUP(M231,データ!$K$3:$O$6,1,TRUE),M231&lt;=VLOOKUP(M231,データ!$K$3:$O$6,2,TRUE)),VLOOKUP(M231,データ!$K$3:$O$6,3,TRUE),"")</f>
        <v>0.41666666666666669</v>
      </c>
      <c r="C231" s="1">
        <f>IF(AND(M231&gt;=VLOOKUP(M231,データ!$K$11:$O$16,1,TRUE),M231&lt;=VLOOKUP(M231,データ!$K$11:$O$16,2,TRUE)),VLOOKUP(M231,データ!$K$11:$O$16,5,TRUE),0)</f>
        <v>0</v>
      </c>
      <c r="D231" s="74" t="str">
        <f>IF(AND(M231&gt;=VLOOKUP(M231,データ!$K$11:$O$16,1,TRUE),M231&lt;=VLOOKUP(M231,データ!$K$11:$O$16,2,TRUE)),VLOOKUP(M231,データ!$K$11:$O$16,3,TRUE),"")</f>
        <v/>
      </c>
      <c r="E231" s="74">
        <f t="shared" si="213"/>
        <v>0.41666666666666669</v>
      </c>
      <c r="F231" s="75">
        <f>VLOOKUP(E231,データ!$K$20:$O$24,5,FALSE)</f>
        <v>0</v>
      </c>
      <c r="G231" s="74">
        <f>IF(AND(M231&gt;=VLOOKUP(M231,データ!$K$3:$O$6,1,TRUE),M231&lt;=VLOOKUP(M231,データ!$K$3:$O$6,2,TRUE)),VLOOKUP(M231,データ!$K$3:$O$6,4,TRUE),"")</f>
        <v>0.70833333333333337</v>
      </c>
      <c r="H231" s="256">
        <f>INDEX(データ!L$21:N$24,MATCH(配置表!E231,データ!K$21:K$24,0),MATCH(配置表!G231,データ!L$20:N$20,0))</f>
        <v>1</v>
      </c>
      <c r="I231" s="52" t="str">
        <f>IF(ISERROR(VLOOKUP(M231,データ!$A$3:$C$20,3,FALSE)),"",VLOOKUP(M231,データ!$A$3:$C$20,3,FALSE))</f>
        <v/>
      </c>
      <c r="J231" s="52">
        <f t="shared" si="214"/>
        <v>1</v>
      </c>
      <c r="K231" s="53">
        <f t="shared" si="225"/>
        <v>1</v>
      </c>
      <c r="L231" s="28" t="str">
        <f t="shared" si="215"/>
        <v>閉</v>
      </c>
      <c r="M231" s="9">
        <f t="shared" si="226"/>
        <v>45957</v>
      </c>
      <c r="N231" s="10" t="str">
        <f t="shared" si="216"/>
        <v>月</v>
      </c>
      <c r="O231" s="63" t="str">
        <f>IF(AND(M231&gt;=VLOOKUP(M231,データ!$E$3:$G$9,1,TRUE),M231&lt;=VLOOKUP(M231,データ!$E$3:$G$9,2,TRUE)),VLOOKUP(M231,データ!$E$3:$G$9,3,TRUE),"")</f>
        <v>秋　特別展</v>
      </c>
      <c r="P231" s="63" t="str">
        <f>IF(AND(M231&gt;=VLOOKUP(M231,データ!$E$14:$G$21,1,TRUE),M231&lt;=VLOOKUP(M231,データ!$E$14:$G$21,2,TRUE)),VLOOKUP(M231,データ!$E$14:$G$21,3,TRUE),"")</f>
        <v>テーマ展</v>
      </c>
      <c r="Q231" s="44" t="str">
        <f t="shared" si="217"/>
        <v>休</v>
      </c>
      <c r="R231" s="32"/>
      <c r="S231" s="10" t="str">
        <f t="shared" si="229"/>
        <v>休</v>
      </c>
      <c r="T231" s="32"/>
      <c r="U231" s="33" t="str">
        <f t="shared" si="230"/>
        <v>休</v>
      </c>
      <c r="V231" s="32"/>
      <c r="W231" s="33" t="str">
        <f t="shared" si="231"/>
        <v>休</v>
      </c>
      <c r="X231" s="32"/>
      <c r="Y231" s="33" t="str">
        <f t="shared" si="221"/>
        <v>休</v>
      </c>
      <c r="Z231" s="32" t="str">
        <f>IF(L231="閉","",(IF(AND(M231&gt;=VLOOKUP(M231,データ!$E$3:$G$9,1,TRUE),M231&lt;=VLOOKUP(M231,データ!$E$3:$G$9,2,TRUE)),VLOOKUP(M231,データ!$E$3:$H$9,4,TRUE),0)+IF(AND(M231&gt;=VLOOKUP(M231,データ!$E$14:$G$21,1,TRUE),M231&lt;=VLOOKUP(M231,データ!$E$14:$G$21,2,TRUE)),VLOOKUP(M231,データ!$E$14:$H$21,4,TRUE),0)))</f>
        <v/>
      </c>
      <c r="AA231" s="33" t="str">
        <f t="shared" si="222"/>
        <v>休</v>
      </c>
      <c r="AB231" s="227" t="str">
        <f t="shared" si="223"/>
        <v/>
      </c>
      <c r="AC231" s="227" t="str">
        <f t="shared" si="224"/>
        <v/>
      </c>
      <c r="AD231" s="228" t="str">
        <f>IF(K231=1,IF(ISERROR(VLOOKUP(M231,データ!$A$3:$C$23,2,FALSE)),"",VLOOKUP(M231,データ!$A$3:$C$23,2,FALSE)),(IF(ISERROR(VLOOKUP(M231,データ!$A$3:$C$23,2,FALSE)),"",VLOOKUP(M231,データ!$A$3:$C$23,2,FALSE))))</f>
        <v/>
      </c>
    </row>
    <row r="232" spans="1:30">
      <c r="A232" s="1">
        <f>IF(AND(M232&gt;=VLOOKUP(M232,データ!$K$3:$O$6,1,TRUE),M232&lt;=VLOOKUP(M232,データ!$K$3:$O$6,2,TRUE)),VLOOKUP(M232,データ!$K$3:$O$6,5,TRUE),"")</f>
        <v>1</v>
      </c>
      <c r="B232" s="74">
        <f>IF(AND(M232&gt;=VLOOKUP(M232,データ!$K$3:$O$6,1,TRUE),M232&lt;=VLOOKUP(M232,データ!$K$3:$O$6,2,TRUE)),VLOOKUP(M232,データ!$K$3:$O$6,3,TRUE),"")</f>
        <v>0.41666666666666669</v>
      </c>
      <c r="C232" s="1">
        <f>IF(AND(M232&gt;=VLOOKUP(M232,データ!$K$11:$O$16,1,TRUE),M232&lt;=VLOOKUP(M232,データ!$K$11:$O$16,2,TRUE)),VLOOKUP(M232,データ!$K$11:$O$16,5,TRUE),0)</f>
        <v>0</v>
      </c>
      <c r="D232" s="74" t="str">
        <f>IF(AND(M232&gt;=VLOOKUP(M232,データ!$K$11:$O$16,1,TRUE),M232&lt;=VLOOKUP(M232,データ!$K$11:$O$16,2,TRUE)),VLOOKUP(M232,データ!$K$11:$O$16,3,TRUE),"")</f>
        <v/>
      </c>
      <c r="E232" s="74">
        <f t="shared" si="213"/>
        <v>0.41666666666666669</v>
      </c>
      <c r="F232" s="75">
        <f>VLOOKUP(E232,データ!$K$20:$O$24,5,FALSE)</f>
        <v>0</v>
      </c>
      <c r="G232" s="74">
        <f>IF(AND(M232&gt;=VLOOKUP(M232,データ!$K$3:$O$6,1,TRUE),M232&lt;=VLOOKUP(M232,データ!$K$3:$O$6,2,TRUE)),VLOOKUP(M232,データ!$K$3:$O$6,4,TRUE),"")</f>
        <v>0.70833333333333337</v>
      </c>
      <c r="H232" s="256">
        <f>INDEX(データ!L$21:N$24,MATCH(配置表!E232,データ!K$21:K$24,0),MATCH(配置表!G232,データ!L$20:N$20,0))</f>
        <v>1</v>
      </c>
      <c r="I232" s="52" t="str">
        <f>IF(ISERROR(VLOOKUP(M232,データ!$A$3:$C$20,3,FALSE)),"",VLOOKUP(M232,データ!$A$3:$C$20,3,FALSE))</f>
        <v/>
      </c>
      <c r="J232" s="52" t="str">
        <f t="shared" si="214"/>
        <v/>
      </c>
      <c r="K232" s="53">
        <f t="shared" si="225"/>
        <v>0</v>
      </c>
      <c r="L232" s="28" t="str">
        <f t="shared" si="215"/>
        <v/>
      </c>
      <c r="M232" s="9">
        <f t="shared" si="226"/>
        <v>45958</v>
      </c>
      <c r="N232" s="10" t="str">
        <f t="shared" si="216"/>
        <v>火</v>
      </c>
      <c r="O232" s="63" t="str">
        <f>IF(AND(M232&gt;=VLOOKUP(M232,データ!$E$3:$G$9,1,TRUE),M232&lt;=VLOOKUP(M232,データ!$E$3:$G$9,2,TRUE)),VLOOKUP(M232,データ!$E$3:$G$9,3,TRUE),"")</f>
        <v>秋　特別展</v>
      </c>
      <c r="P232" s="63" t="str">
        <f>IF(AND(M232&gt;=VLOOKUP(M232,データ!$E$14:$G$21,1,TRUE),M232&lt;=VLOOKUP(M232,データ!$E$14:$G$21,2,TRUE)),VLOOKUP(M232,データ!$E$14:$G$21,3,TRUE),"")</f>
        <v>テーマ展</v>
      </c>
      <c r="Q232" s="44" t="str">
        <f t="shared" si="217"/>
        <v>○</v>
      </c>
      <c r="R232" s="10"/>
      <c r="S232" s="33" t="str">
        <f t="shared" ref="S232:S235" si="249">IF(H232="閉","休",IF(K232="","",IF(OR(J232="土",J232="日",E232=1),IF(OR(K232="ダミー　特別展",K232="ダミー　特別展"),"◎",IF(OR(K232="夏　特別展",K232="秋　特別展",K232="春　特別展"),"○","")),"")))</f>
        <v/>
      </c>
      <c r="T232" s="45"/>
      <c r="U232" s="33" t="str">
        <f t="shared" ref="U232:U235" si="250">IF(L232="閉","休",IF(S232="","●","●"))</f>
        <v>●</v>
      </c>
      <c r="V232" s="32"/>
      <c r="W232" s="33" t="str">
        <f t="shared" ref="W232:W235" si="251">IF(P232="閉","休",IF(O232="","",IF(O232="冬　特別展",IF(OR(N232="土",N232="日",M232=1),"○",""),"○")))</f>
        <v>○</v>
      </c>
      <c r="X232" s="32"/>
      <c r="Y232" s="33" t="str">
        <f t="shared" si="221"/>
        <v>○</v>
      </c>
      <c r="Z232" s="32">
        <f>IF(L232="閉","",(IF(AND(M232&gt;=VLOOKUP(M232,データ!$E$3:$G$9,1,TRUE),M232&lt;=VLOOKUP(M232,データ!$E$3:$G$9,2,TRUE)),VLOOKUP(M232,データ!$E$3:$H$9,4,TRUE),0)+IF(AND(M232&gt;=VLOOKUP(M232,データ!$E$14:$G$21,1,TRUE),M232&lt;=VLOOKUP(M232,データ!$E$14:$G$21,2,TRUE)),VLOOKUP(M232,データ!$E$14:$H$21,4,TRUE),0)))</f>
        <v>5</v>
      </c>
      <c r="AA232" s="33" t="str">
        <f t="shared" si="222"/>
        <v>○</v>
      </c>
      <c r="AB232" s="227">
        <f t="shared" si="223"/>
        <v>0.41666666666666669</v>
      </c>
      <c r="AC232" s="227">
        <f t="shared" si="224"/>
        <v>0.70833333333333337</v>
      </c>
      <c r="AD232" s="228" t="str">
        <f>IF(K232=1,IF(ISERROR(VLOOKUP(M232,データ!$A$3:$C$23,2,FALSE)),"",VLOOKUP(M232,データ!$A$3:$C$23,2,FALSE)),(IF(ISERROR(VLOOKUP(M232,データ!$A$3:$C$23,2,FALSE)),"",VLOOKUP(M232,データ!$A$3:$C$23,2,FALSE))))</f>
        <v/>
      </c>
    </row>
    <row r="233" spans="1:30">
      <c r="A233" s="1">
        <f>IF(AND(M233&gt;=VLOOKUP(M233,データ!$K$3:$O$6,1,TRUE),M233&lt;=VLOOKUP(M233,データ!$K$3:$O$6,2,TRUE)),VLOOKUP(M233,データ!$K$3:$O$6,5,TRUE),"")</f>
        <v>1</v>
      </c>
      <c r="B233" s="74">
        <f>IF(AND(M233&gt;=VLOOKUP(M233,データ!$K$3:$O$6,1,TRUE),M233&lt;=VLOOKUP(M233,データ!$K$3:$O$6,2,TRUE)),VLOOKUP(M233,データ!$K$3:$O$6,3,TRUE),"")</f>
        <v>0.41666666666666669</v>
      </c>
      <c r="C233" s="1">
        <f>IF(AND(M233&gt;=VLOOKUP(M233,データ!$K$11:$O$16,1,TRUE),M233&lt;=VLOOKUP(M233,データ!$K$11:$O$16,2,TRUE)),VLOOKUP(M233,データ!$K$11:$O$16,5,TRUE),0)</f>
        <v>0</v>
      </c>
      <c r="D233" s="74" t="str">
        <f>IF(AND(M233&gt;=VLOOKUP(M233,データ!$K$11:$O$16,1,TRUE),M233&lt;=VLOOKUP(M233,データ!$K$11:$O$16,2,TRUE)),VLOOKUP(M233,データ!$K$11:$O$16,3,TRUE),"")</f>
        <v/>
      </c>
      <c r="E233" s="74">
        <f t="shared" si="213"/>
        <v>0.41666666666666669</v>
      </c>
      <c r="F233" s="75">
        <f>VLOOKUP(E233,データ!$K$20:$O$24,5,FALSE)</f>
        <v>0</v>
      </c>
      <c r="G233" s="74">
        <f>IF(AND(M233&gt;=VLOOKUP(M233,データ!$K$3:$O$6,1,TRUE),M233&lt;=VLOOKUP(M233,データ!$K$3:$O$6,2,TRUE)),VLOOKUP(M233,データ!$K$3:$O$6,4,TRUE),"")</f>
        <v>0.70833333333333337</v>
      </c>
      <c r="H233" s="256">
        <f>INDEX(データ!L$21:N$24,MATCH(配置表!E233,データ!K$21:K$24,0),MATCH(配置表!G233,データ!L$20:N$20,0))</f>
        <v>1</v>
      </c>
      <c r="I233" s="52" t="str">
        <f>IF(ISERROR(VLOOKUP(M233,データ!$A$3:$C$20,3,FALSE)),"",VLOOKUP(M233,データ!$A$3:$C$20,3,FALSE))</f>
        <v/>
      </c>
      <c r="J233" s="52" t="str">
        <f t="shared" si="214"/>
        <v/>
      </c>
      <c r="K233" s="53">
        <f t="shared" si="225"/>
        <v>0</v>
      </c>
      <c r="L233" s="28" t="str">
        <f t="shared" si="215"/>
        <v/>
      </c>
      <c r="M233" s="9">
        <f t="shared" si="226"/>
        <v>45959</v>
      </c>
      <c r="N233" s="10" t="str">
        <f t="shared" si="216"/>
        <v>水</v>
      </c>
      <c r="O233" s="63" t="str">
        <f>IF(AND(M233&gt;=VLOOKUP(M233,データ!$E$3:$G$9,1,TRUE),M233&lt;=VLOOKUP(M233,データ!$E$3:$G$9,2,TRUE)),VLOOKUP(M233,データ!$E$3:$G$9,3,TRUE),"")</f>
        <v>秋　特別展</v>
      </c>
      <c r="P233" s="63" t="str">
        <f>IF(AND(M233&gt;=VLOOKUP(M233,データ!$E$14:$G$21,1,TRUE),M233&lt;=VLOOKUP(M233,データ!$E$14:$G$21,2,TRUE)),VLOOKUP(M233,データ!$E$14:$G$21,3,TRUE),"")</f>
        <v>テーマ展</v>
      </c>
      <c r="Q233" s="44" t="str">
        <f t="shared" si="217"/>
        <v>○</v>
      </c>
      <c r="R233" s="10"/>
      <c r="S233" s="33" t="str">
        <f t="shared" si="249"/>
        <v/>
      </c>
      <c r="T233" s="45"/>
      <c r="U233" s="33" t="str">
        <f t="shared" si="250"/>
        <v>●</v>
      </c>
      <c r="V233" s="32"/>
      <c r="W233" s="33" t="str">
        <f t="shared" si="251"/>
        <v>○</v>
      </c>
      <c r="X233" s="32"/>
      <c r="Y233" s="33" t="str">
        <f t="shared" si="221"/>
        <v>○</v>
      </c>
      <c r="Z233" s="32">
        <f>IF(L233="閉","",(IF(AND(M233&gt;=VLOOKUP(M233,データ!$E$3:$G$9,1,TRUE),M233&lt;=VLOOKUP(M233,データ!$E$3:$G$9,2,TRUE)),VLOOKUP(M233,データ!$E$3:$H$9,4,TRUE),0)+IF(AND(M233&gt;=VLOOKUP(M233,データ!$E$14:$G$21,1,TRUE),M233&lt;=VLOOKUP(M233,データ!$E$14:$G$21,2,TRUE)),VLOOKUP(M233,データ!$E$14:$H$21,4,TRUE),0)))</f>
        <v>5</v>
      </c>
      <c r="AA233" s="33" t="str">
        <f t="shared" si="222"/>
        <v>○</v>
      </c>
      <c r="AB233" s="227">
        <f t="shared" si="223"/>
        <v>0.41666666666666669</v>
      </c>
      <c r="AC233" s="227">
        <f t="shared" si="224"/>
        <v>0.70833333333333337</v>
      </c>
      <c r="AD233" s="228" t="str">
        <f>IF(K233=1,IF(ISERROR(VLOOKUP(M233,データ!$A$3:$C$23,2,FALSE)),"",VLOOKUP(M233,データ!$A$3:$C$23,2,FALSE)),(IF(ISERROR(VLOOKUP(M233,データ!$A$3:$C$23,2,FALSE)),"",VLOOKUP(M233,データ!$A$3:$C$23,2,FALSE))))</f>
        <v/>
      </c>
    </row>
    <row r="234" spans="1:30">
      <c r="A234" s="1">
        <f>IF(AND(M234&gt;=VLOOKUP(M234,データ!$K$3:$O$6,1,TRUE),M234&lt;=VLOOKUP(M234,データ!$K$3:$O$6,2,TRUE)),VLOOKUP(M234,データ!$K$3:$O$6,5,TRUE),"")</f>
        <v>1</v>
      </c>
      <c r="B234" s="74">
        <f>IF(AND(M234&gt;=VLOOKUP(M234,データ!$K$3:$O$6,1,TRUE),M234&lt;=VLOOKUP(M234,データ!$K$3:$O$6,2,TRUE)),VLOOKUP(M234,データ!$K$3:$O$6,3,TRUE),"")</f>
        <v>0.41666666666666669</v>
      </c>
      <c r="C234" s="1">
        <f>IF(AND(M234&gt;=VLOOKUP(M234,データ!$K$11:$O$16,1,TRUE),M234&lt;=VLOOKUP(M234,データ!$K$11:$O$16,2,TRUE)),VLOOKUP(M234,データ!$K$11:$O$16,5,TRUE),0)</f>
        <v>0</v>
      </c>
      <c r="D234" s="74" t="str">
        <f>IF(AND(M234&gt;=VLOOKUP(M234,データ!$K$11:$O$16,1,TRUE),M234&lt;=VLOOKUP(M234,データ!$K$11:$O$16,2,TRUE)),VLOOKUP(M234,データ!$K$11:$O$16,3,TRUE),"")</f>
        <v/>
      </c>
      <c r="E234" s="74">
        <f t="shared" si="213"/>
        <v>0.41666666666666669</v>
      </c>
      <c r="F234" s="75">
        <f>VLOOKUP(E234,データ!$K$20:$O$24,5,FALSE)</f>
        <v>0</v>
      </c>
      <c r="G234" s="74">
        <f>IF(AND(M234&gt;=VLOOKUP(M234,データ!$K$3:$O$6,1,TRUE),M234&lt;=VLOOKUP(M234,データ!$K$3:$O$6,2,TRUE)),VLOOKUP(M234,データ!$K$3:$O$6,4,TRUE),"")</f>
        <v>0.70833333333333337</v>
      </c>
      <c r="H234" s="256">
        <f>INDEX(データ!L$21:N$24,MATCH(配置表!E234,データ!K$21:K$24,0),MATCH(配置表!G234,データ!L$20:N$20,0))</f>
        <v>1</v>
      </c>
      <c r="I234" s="52" t="str">
        <f>IF(ISERROR(VLOOKUP(M234,データ!$A$3:$C$20,3,FALSE)),"",VLOOKUP(M234,データ!$A$3:$C$20,3,FALSE))</f>
        <v/>
      </c>
      <c r="J234" s="52" t="str">
        <f t="shared" si="214"/>
        <v/>
      </c>
      <c r="K234" s="53">
        <f t="shared" si="225"/>
        <v>0</v>
      </c>
      <c r="L234" s="28" t="str">
        <f t="shared" si="215"/>
        <v/>
      </c>
      <c r="M234" s="9">
        <f t="shared" si="226"/>
        <v>45960</v>
      </c>
      <c r="N234" s="10" t="str">
        <f t="shared" si="216"/>
        <v>木</v>
      </c>
      <c r="O234" s="63" t="str">
        <f>IF(AND(M234&gt;=VLOOKUP(M234,データ!$E$3:$G$9,1,TRUE),M234&lt;=VLOOKUP(M234,データ!$E$3:$G$9,2,TRUE)),VLOOKUP(M234,データ!$E$3:$G$9,3,TRUE),"")</f>
        <v>秋　特別展</v>
      </c>
      <c r="P234" s="63" t="str">
        <f>IF(AND(M234&gt;=VLOOKUP(M234,データ!$E$14:$G$21,1,TRUE),M234&lt;=VLOOKUP(M234,データ!$E$14:$G$21,2,TRUE)),VLOOKUP(M234,データ!$E$14:$G$21,3,TRUE),"")</f>
        <v>テーマ展</v>
      </c>
      <c r="Q234" s="44" t="str">
        <f t="shared" si="217"/>
        <v>○</v>
      </c>
      <c r="R234" s="10"/>
      <c r="S234" s="33" t="str">
        <f t="shared" si="249"/>
        <v/>
      </c>
      <c r="T234" s="45"/>
      <c r="U234" s="33" t="str">
        <f t="shared" si="250"/>
        <v>●</v>
      </c>
      <c r="V234" s="32"/>
      <c r="W234" s="33" t="str">
        <f t="shared" si="251"/>
        <v>○</v>
      </c>
      <c r="X234" s="32"/>
      <c r="Y234" s="33" t="str">
        <f t="shared" si="221"/>
        <v>○</v>
      </c>
      <c r="Z234" s="32">
        <f>IF(L234="閉","",(IF(AND(M234&gt;=VLOOKUP(M234,データ!$E$3:$G$9,1,TRUE),M234&lt;=VLOOKUP(M234,データ!$E$3:$G$9,2,TRUE)),VLOOKUP(M234,データ!$E$3:$H$9,4,TRUE),0)+IF(AND(M234&gt;=VLOOKUP(M234,データ!$E$14:$G$21,1,TRUE),M234&lt;=VLOOKUP(M234,データ!$E$14:$G$21,2,TRUE)),VLOOKUP(M234,データ!$E$14:$H$21,4,TRUE),0)))</f>
        <v>5</v>
      </c>
      <c r="AA234" s="33" t="str">
        <f t="shared" si="222"/>
        <v>○</v>
      </c>
      <c r="AB234" s="227">
        <f t="shared" si="223"/>
        <v>0.41666666666666669</v>
      </c>
      <c r="AC234" s="227">
        <f t="shared" si="224"/>
        <v>0.70833333333333337</v>
      </c>
      <c r="AD234" s="228" t="str">
        <f>IF(K234=1,IF(ISERROR(VLOOKUP(M234,データ!$A$3:$C$23,2,FALSE)),"",VLOOKUP(M234,データ!$A$3:$C$23,2,FALSE)),(IF(ISERROR(VLOOKUP(M234,データ!$A$3:$C$23,2,FALSE)),"",VLOOKUP(M234,データ!$A$3:$C$23,2,FALSE))))</f>
        <v/>
      </c>
    </row>
    <row r="235" spans="1:30" ht="12" thickBot="1">
      <c r="A235" s="1">
        <f>IF(AND(M235&gt;=VLOOKUP(M235,データ!$K$3:$O$6,1,TRUE),M235&lt;=VLOOKUP(M235,データ!$K$3:$O$6,2,TRUE)),VLOOKUP(M235,データ!$K$3:$O$6,5,TRUE),"")</f>
        <v>1</v>
      </c>
      <c r="B235" s="74">
        <f>IF(AND(M235&gt;=VLOOKUP(M235,データ!$K$3:$O$6,1,TRUE),M235&lt;=VLOOKUP(M235,データ!$K$3:$O$6,2,TRUE)),VLOOKUP(M235,データ!$K$3:$O$6,3,TRUE),"")</f>
        <v>0.41666666666666669</v>
      </c>
      <c r="C235" s="1">
        <f>IF(AND(M235&gt;=VLOOKUP(M235,データ!$K$11:$O$16,1,TRUE),M235&lt;=VLOOKUP(M235,データ!$K$11:$O$16,2,TRUE)),VLOOKUP(M235,データ!$K$11:$O$16,5,TRUE),0)</f>
        <v>0</v>
      </c>
      <c r="D235" s="74" t="str">
        <f>IF(AND(M235&gt;=VLOOKUP(M235,データ!$K$11:$O$16,1,TRUE),M235&lt;=VLOOKUP(M235,データ!$K$11:$O$16,2,TRUE)),VLOOKUP(M235,データ!$K$11:$O$16,3,TRUE),"")</f>
        <v/>
      </c>
      <c r="E235" s="74">
        <f t="shared" si="213"/>
        <v>0.41666666666666669</v>
      </c>
      <c r="F235" s="75">
        <f>VLOOKUP(E235,データ!$K$20:$O$24,5,FALSE)</f>
        <v>0</v>
      </c>
      <c r="G235" s="74">
        <f>IF(AND(M235&gt;=VLOOKUP(M235,データ!$K$3:$O$6,1,TRUE),M235&lt;=VLOOKUP(M235,データ!$K$3:$O$6,2,TRUE)),VLOOKUP(M235,データ!$K$3:$O$6,4,TRUE),"")</f>
        <v>0.70833333333333337</v>
      </c>
      <c r="H235" s="256">
        <f>INDEX(データ!L$21:N$24,MATCH(配置表!E235,データ!K$21:K$24,0),MATCH(配置表!G235,データ!L$20:N$20,0))</f>
        <v>1</v>
      </c>
      <c r="I235" s="52" t="str">
        <f>IF(ISERROR(VLOOKUP(M235,データ!$A$3:$C$20,3,FALSE)),"",VLOOKUP(M235,データ!$A$3:$C$20,3,FALSE))</f>
        <v/>
      </c>
      <c r="J235" s="52" t="str">
        <f t="shared" si="214"/>
        <v/>
      </c>
      <c r="K235" s="53">
        <f t="shared" si="225"/>
        <v>0</v>
      </c>
      <c r="L235" s="28" t="str">
        <f t="shared" si="215"/>
        <v/>
      </c>
      <c r="M235" s="29">
        <f t="shared" si="226"/>
        <v>45961</v>
      </c>
      <c r="N235" s="22" t="str">
        <f t="shared" si="216"/>
        <v>金</v>
      </c>
      <c r="O235" s="65" t="str">
        <f>IF(AND(M235&gt;=VLOOKUP(M235,データ!$E$3:$G$9,1,TRUE),M235&lt;=VLOOKUP(M235,データ!$E$3:$G$9,2,TRUE)),VLOOKUP(M235,データ!$E$3:$G$9,3,TRUE),"")</f>
        <v>秋　特別展</v>
      </c>
      <c r="P235" s="65" t="str">
        <f>IF(AND(M235&gt;=VLOOKUP(M235,データ!$E$14:$G$21,1,TRUE),M235&lt;=VLOOKUP(M235,データ!$E$14:$G$21,2,TRUE)),VLOOKUP(M235,データ!$E$14:$G$21,3,TRUE),"")</f>
        <v>テーマ展</v>
      </c>
      <c r="Q235" s="40" t="str">
        <f t="shared" si="217"/>
        <v>○</v>
      </c>
      <c r="R235" s="22"/>
      <c r="S235" s="34" t="str">
        <f t="shared" si="249"/>
        <v/>
      </c>
      <c r="T235" s="41"/>
      <c r="U235" s="34" t="str">
        <f t="shared" si="250"/>
        <v>●</v>
      </c>
      <c r="V235" s="23"/>
      <c r="W235" s="34" t="str">
        <f t="shared" si="251"/>
        <v>○</v>
      </c>
      <c r="X235" s="23"/>
      <c r="Y235" s="34" t="str">
        <f t="shared" si="221"/>
        <v>○</v>
      </c>
      <c r="Z235" s="23">
        <f>IF(L235="閉","",(IF(AND(M235&gt;=VLOOKUP(M235,データ!$E$3:$G$9,1,TRUE),M235&lt;=VLOOKUP(M235,データ!$E$3:$G$9,2,TRUE)),VLOOKUP(M235,データ!$E$3:$H$9,4,TRUE),0)+IF(AND(M235&gt;=VLOOKUP(M235,データ!$E$14:$G$21,1,TRUE),M235&lt;=VLOOKUP(M235,データ!$E$14:$G$21,2,TRUE)),VLOOKUP(M235,データ!$E$14:$H$21,4,TRUE),0)))</f>
        <v>5</v>
      </c>
      <c r="AA235" s="34" t="str">
        <f t="shared" si="222"/>
        <v>○</v>
      </c>
      <c r="AB235" s="233">
        <f t="shared" si="223"/>
        <v>0.41666666666666669</v>
      </c>
      <c r="AC235" s="233">
        <f t="shared" si="224"/>
        <v>0.70833333333333337</v>
      </c>
      <c r="AD235" s="231" t="str">
        <f>IF(K235=1,IF(ISERROR(VLOOKUP(M235,データ!$A$3:$C$23,2,FALSE)),"",VLOOKUP(M235,データ!$A$3:$C$23,2,FALSE)),(IF(ISERROR(VLOOKUP(M235,データ!$A$3:$C$23,2,FALSE)),"",VLOOKUP(M235,データ!$A$3:$C$23,2,FALSE))))</f>
        <v/>
      </c>
    </row>
    <row r="236" spans="1:30" ht="14.25" thickBot="1">
      <c r="H236" s="256"/>
      <c r="I236" s="52"/>
      <c r="J236" s="52"/>
      <c r="K236" s="53"/>
      <c r="L236" s="28" t="str">
        <f t="shared" si="212"/>
        <v/>
      </c>
      <c r="M236" s="57"/>
      <c r="N236" s="50"/>
      <c r="O236" s="50"/>
      <c r="P236" s="50"/>
      <c r="Q236" s="50"/>
      <c r="R236" s="50"/>
      <c r="S236" s="50"/>
      <c r="T236" s="37"/>
      <c r="U236" s="37"/>
      <c r="V236" s="50"/>
      <c r="W236" s="50"/>
      <c r="X236" s="50"/>
      <c r="Y236" s="50"/>
      <c r="Z236" s="50"/>
      <c r="AA236" s="50"/>
      <c r="AB236" s="224" t="str">
        <f>IF(ISERROR(VLOOKUP(M236,データ!$A$3:$C$23,2,FALSE)),"",VLOOKUP(M236,データ!$A$3:$C$23,2,FALSE))</f>
        <v/>
      </c>
      <c r="AC236" s="2"/>
    </row>
    <row r="237" spans="1:30" customFormat="1" ht="27.75" customHeight="1" thickBot="1">
      <c r="H237" s="257"/>
      <c r="I237" s="52"/>
      <c r="J237" s="52"/>
      <c r="K237" s="53"/>
      <c r="L237" s="28" t="str">
        <f t="shared" si="212"/>
        <v/>
      </c>
      <c r="M237" s="58"/>
      <c r="N237" s="59"/>
      <c r="O237" s="42" t="s">
        <v>5</v>
      </c>
      <c r="P237" s="42" t="s">
        <v>6</v>
      </c>
      <c r="Q237" s="49" t="s">
        <v>8</v>
      </c>
      <c r="R237" s="354" t="s">
        <v>13</v>
      </c>
      <c r="S237" s="355"/>
      <c r="T237" s="354" t="s">
        <v>14</v>
      </c>
      <c r="U237" s="355"/>
      <c r="V237" s="354" t="s">
        <v>9</v>
      </c>
      <c r="W237" s="355"/>
      <c r="X237" s="354" t="s">
        <v>10</v>
      </c>
      <c r="Y237" s="355"/>
      <c r="Z237" s="354" t="s">
        <v>1</v>
      </c>
      <c r="AA237" s="355"/>
      <c r="AB237" s="38" t="s">
        <v>114</v>
      </c>
      <c r="AC237" s="38" t="s">
        <v>35</v>
      </c>
      <c r="AD237" s="38" t="s">
        <v>116</v>
      </c>
    </row>
    <row r="238" spans="1:30">
      <c r="A238" s="1">
        <f>IF(AND(M238&gt;=VLOOKUP(M238,データ!$K$3:$O$6,1,TRUE),M238&lt;=VLOOKUP(M238,データ!$K$3:$O$6,2,TRUE)),VLOOKUP(M238,データ!$K$3:$O$6,5,TRUE),"")</f>
        <v>1</v>
      </c>
      <c r="B238" s="74">
        <f>IF(AND(M238&gt;=VLOOKUP(M238,データ!$K$3:$O$6,1,TRUE),M238&lt;=VLOOKUP(M238,データ!$K$3:$O$6,2,TRUE)),VLOOKUP(M238,データ!$K$3:$O$6,3,TRUE),"")</f>
        <v>0.41666666666666669</v>
      </c>
      <c r="C238" s="1">
        <f>IF(AND(M238&gt;=VLOOKUP(M238,データ!$K$11:$O$16,1,TRUE),M238&lt;=VLOOKUP(M238,データ!$K$11:$O$16,2,TRUE)),VLOOKUP(M238,データ!$K$11:$O$16,5,TRUE),0)</f>
        <v>0</v>
      </c>
      <c r="D238" s="74" t="str">
        <f>IF(AND(M238&gt;=VLOOKUP(M238,データ!$K$11:$O$16,1,TRUE),M238&lt;=VLOOKUP(M238,データ!$K$11:$O$16,2,TRUE)),VLOOKUP(M238,データ!$K$11:$O$16,3,TRUE),"")</f>
        <v/>
      </c>
      <c r="E238" s="74">
        <f t="shared" ref="E238:E267" si="252">IF(C238=2,IF(OR(N238="土",N238="日"),D238,B238),IF(C238=1,D238,B238))</f>
        <v>0.41666666666666669</v>
      </c>
      <c r="F238" s="75">
        <f>VLOOKUP(E238,データ!$K$20:$O$24,5,FALSE)</f>
        <v>0</v>
      </c>
      <c r="G238" s="74">
        <f>IF(AND(M238&gt;=VLOOKUP(M238,データ!$K$3:$O$6,1,TRUE),M238&lt;=VLOOKUP(M238,データ!$K$3:$O$6,2,TRUE)),VLOOKUP(M238,データ!$K$3:$O$6,4,TRUE),"")</f>
        <v>0.70833333333333337</v>
      </c>
      <c r="H238" s="256">
        <f>INDEX(データ!L$21:N$24,MATCH(配置表!E238,データ!K$21:K$24,0),MATCH(配置表!G238,データ!L$20:N$20,0))</f>
        <v>1</v>
      </c>
      <c r="I238" s="52" t="str">
        <f>IF(ISERROR(VLOOKUP(M238,データ!$A$3:$C$20,3,FALSE)),"",VLOOKUP(M238,データ!$A$3:$C$20,3,FALSE))</f>
        <v/>
      </c>
      <c r="J238" s="52" t="str">
        <f t="shared" ref="J238:J267" si="253">IF(N238="月",1,"")</f>
        <v/>
      </c>
      <c r="K238" s="53">
        <f>IF(K235=2,IF(I238=1,2,1),IF(I238=1,IF(J238=1,2,0),IF(J238=1,1,0)))</f>
        <v>0</v>
      </c>
      <c r="L238" s="28" t="str">
        <f t="shared" ref="L238:L267" si="254">IF(AND(O238="",P238=""),"閉",IF(K238=1,"閉",""))</f>
        <v/>
      </c>
      <c r="M238" s="9">
        <f>M235+1</f>
        <v>45962</v>
      </c>
      <c r="N238" s="10" t="str">
        <f t="shared" ref="N238:N267" si="255">TEXT(WEEKDAY(M238,1),"aaa")</f>
        <v>土</v>
      </c>
      <c r="O238" s="63" t="str">
        <f>IF(AND(M238&gt;=VLOOKUP(M238,データ!$E$3:$G$9,1,TRUE),M238&lt;=VLOOKUP(M238,データ!$E$3:$G$9,2,TRUE)),VLOOKUP(M238,データ!$E$3:$G$9,3,TRUE),"")</f>
        <v>秋　特別展</v>
      </c>
      <c r="P238" s="63" t="str">
        <f>IF(AND(M238&gt;=VLOOKUP(M238,データ!$E$14:$G$21,1,TRUE),M238&lt;=VLOOKUP(M238,データ!$E$14:$G$21,2,TRUE)),VLOOKUP(M238,データ!$E$14:$G$21,3,TRUE),"")</f>
        <v>テーマ展</v>
      </c>
      <c r="Q238" s="46" t="str">
        <f t="shared" ref="Q238:Q267" si="256">IF(L238="閉","休","○")</f>
        <v>○</v>
      </c>
      <c r="R238" s="46"/>
      <c r="S238" s="10" t="str">
        <f t="shared" ref="S238:S240" si="257">IF(L238="閉","休",IF(O238="","",IF(O238="冬　特別展",IF(OR(N238="土",N238="日",I238=1),"○",""),"○")))</f>
        <v>○</v>
      </c>
      <c r="T238" s="45"/>
      <c r="U238" s="33" t="str">
        <f t="shared" ref="U238:U240" si="258">IF(L238="閉","休",IF(S238="","●","●"))</f>
        <v>●</v>
      </c>
      <c r="V238" s="32"/>
      <c r="W238" s="33" t="str">
        <f t="shared" ref="W238:W240" si="259">IF(L238="閉","休",IF(O238="","",IF(OR(N238="土",N238="日",I238=1),IF(OR(O238="ダミー　特別展",O238="ダミー　特別展"),"◎",IF(OR(O238="夏　特別展",O238="秋　特別展",O238="春　特別展"),"◎","")),"")))</f>
        <v>◎</v>
      </c>
      <c r="X238" s="35"/>
      <c r="Y238" s="47" t="str">
        <f t="shared" ref="Y238:Y267" si="260">IF(L238="閉","休",IF(H238=1,"○",IF(H238=2,"●","Err")))</f>
        <v>○</v>
      </c>
      <c r="Z238" s="35">
        <f>IF(L238="閉","",(IF(AND(M238&gt;=VLOOKUP(M238,データ!$E$3:$G$9,1,TRUE),M238&lt;=VLOOKUP(M238,データ!$E$3:$G$9,2,TRUE)),VLOOKUP(M238,データ!$E$3:$H$9,4,TRUE),0)+IF(AND(M238&gt;=VLOOKUP(M238,データ!$E$14:$G$21,1,TRUE),M238&lt;=VLOOKUP(M238,データ!$E$14:$G$21,2,TRUE)),VLOOKUP(M238,データ!$E$14:$H$21,4,TRUE),0)))</f>
        <v>5</v>
      </c>
      <c r="AA238" s="47" t="str">
        <f t="shared" ref="AA238:AA267" si="261">IF(L238="閉","休",IF(O238="","△",IF(H238=1,"○",IF(H238=2,"●","Err"))))</f>
        <v>○</v>
      </c>
      <c r="AB238" s="232">
        <f t="shared" ref="AB238:AB267" si="262">IF(K238=1,"",E238)</f>
        <v>0.41666666666666669</v>
      </c>
      <c r="AC238" s="232">
        <f t="shared" ref="AC238:AC267" si="263">IF(K238=1,"",G238)</f>
        <v>0.70833333333333337</v>
      </c>
      <c r="AD238" s="226" t="str">
        <f>IF(K238=1,IF(ISERROR(VLOOKUP(M238,データ!$A$3:$C$23,2,FALSE)),"",VLOOKUP(M238,データ!$A$3:$C$23,2,FALSE)),(IF(ISERROR(VLOOKUP(M238,データ!$A$3:$C$23,2,FALSE)),"",VLOOKUP(M238,データ!$A$3:$C$23,2,FALSE))))</f>
        <v/>
      </c>
    </row>
    <row r="239" spans="1:30" ht="13.5">
      <c r="A239" s="1">
        <f>IF(AND(M239&gt;=VLOOKUP(M239,データ!$K$3:$O$6,1,TRUE),M239&lt;=VLOOKUP(M239,データ!$K$3:$O$6,2,TRUE)),VLOOKUP(M239,データ!$K$3:$O$6,5,TRUE),"")</f>
        <v>1</v>
      </c>
      <c r="B239" s="74">
        <f>IF(AND(M239&gt;=VLOOKUP(M239,データ!$K$3:$O$6,1,TRUE),M239&lt;=VLOOKUP(M239,データ!$K$3:$O$6,2,TRUE)),VLOOKUP(M239,データ!$K$3:$O$6,3,TRUE),"")</f>
        <v>0.41666666666666669</v>
      </c>
      <c r="C239" s="1">
        <f>IF(AND(M239&gt;=VLOOKUP(M239,データ!$K$11:$O$16,1,TRUE),M239&lt;=VLOOKUP(M239,データ!$K$11:$O$16,2,TRUE)),VLOOKUP(M239,データ!$K$11:$O$16,5,TRUE),0)</f>
        <v>0</v>
      </c>
      <c r="D239" s="74" t="str">
        <f>IF(AND(M239&gt;=VLOOKUP(M239,データ!$K$11:$O$16,1,TRUE),M239&lt;=VLOOKUP(M239,データ!$K$11:$O$16,2,TRUE)),VLOOKUP(M239,データ!$K$11:$O$16,3,TRUE),"")</f>
        <v/>
      </c>
      <c r="E239" s="74">
        <f t="shared" si="252"/>
        <v>0.41666666666666669</v>
      </c>
      <c r="F239" s="75">
        <f>VLOOKUP(E239,データ!$K$20:$O$24,5,FALSE)</f>
        <v>0</v>
      </c>
      <c r="G239" s="74">
        <f>IF(AND(M239&gt;=VLOOKUP(M239,データ!$K$3:$O$6,1,TRUE),M239&lt;=VLOOKUP(M239,データ!$K$3:$O$6,2,TRUE)),VLOOKUP(M239,データ!$K$3:$O$6,4,TRUE),"")</f>
        <v>0.70833333333333337</v>
      </c>
      <c r="H239" s="256">
        <f>INDEX(データ!L$21:N$24,MATCH(配置表!E239,データ!K$21:K$24,0),MATCH(配置表!G239,データ!L$20:N$20,0))</f>
        <v>1</v>
      </c>
      <c r="I239" s="52" t="str">
        <f>IF(ISERROR(VLOOKUP(M239,データ!$A$3:$C$20,3,FALSE)),"",VLOOKUP(M239,データ!$A$3:$C$20,3,FALSE))</f>
        <v/>
      </c>
      <c r="J239" s="52" t="str">
        <f t="shared" si="253"/>
        <v/>
      </c>
      <c r="K239" s="53">
        <f>IF(K238=2,IF(I239=1,2,1),IF(I239=1,IF(J239=1,2,0),IF(J239=1,1,0)))</f>
        <v>0</v>
      </c>
      <c r="L239" s="28" t="str">
        <f t="shared" si="254"/>
        <v/>
      </c>
      <c r="M239" s="9">
        <f>M238+1</f>
        <v>45963</v>
      </c>
      <c r="N239" s="10" t="str">
        <f t="shared" si="255"/>
        <v>日</v>
      </c>
      <c r="O239" s="63" t="str">
        <f>IF(AND(M239&gt;=VLOOKUP(M239,データ!$E$3:$G$9,1,TRUE),M239&lt;=VLOOKUP(M239,データ!$E$3:$G$9,2,TRUE)),VLOOKUP(M239,データ!$E$3:$G$9,3,TRUE),"")</f>
        <v>秋　特別展</v>
      </c>
      <c r="P239" s="63" t="str">
        <f>IF(AND(M239&gt;=VLOOKUP(M239,データ!$E$14:$G$21,1,TRUE),M239&lt;=VLOOKUP(M239,データ!$E$14:$G$21,2,TRUE)),VLOOKUP(M239,データ!$E$14:$G$21,3,TRUE),"")</f>
        <v>テーマ展</v>
      </c>
      <c r="Q239" s="45" t="str">
        <f t="shared" si="256"/>
        <v>○</v>
      </c>
      <c r="R239" s="45"/>
      <c r="S239" s="10" t="str">
        <f t="shared" si="257"/>
        <v>○</v>
      </c>
      <c r="T239" s="45"/>
      <c r="U239" s="33" t="str">
        <f t="shared" si="258"/>
        <v>●</v>
      </c>
      <c r="V239" s="32"/>
      <c r="W239" s="33" t="str">
        <f t="shared" si="259"/>
        <v>◎</v>
      </c>
      <c r="X239" s="36"/>
      <c r="Y239" s="33" t="str">
        <f t="shared" si="260"/>
        <v>○</v>
      </c>
      <c r="Z239" s="32">
        <f>IF(L239="閉","",(IF(AND(M239&gt;=VLOOKUP(M239,データ!$E$3:$G$9,1,TRUE),M239&lt;=VLOOKUP(M239,データ!$E$3:$G$9,2,TRUE)),VLOOKUP(M239,データ!$E$3:$H$9,4,TRUE),0)+IF(AND(M239&gt;=VLOOKUP(M239,データ!$E$14:$G$21,1,TRUE),M239&lt;=VLOOKUP(M239,データ!$E$14:$G$21,2,TRUE)),VLOOKUP(M239,データ!$E$14:$H$21,4,TRUE),0)))</f>
        <v>5</v>
      </c>
      <c r="AA239" s="33" t="str">
        <f t="shared" si="261"/>
        <v>○</v>
      </c>
      <c r="AB239" s="227">
        <f t="shared" si="262"/>
        <v>0.41666666666666669</v>
      </c>
      <c r="AC239" s="227">
        <f t="shared" si="263"/>
        <v>0.70833333333333337</v>
      </c>
      <c r="AD239" s="228" t="str">
        <f>IF(K239=1,IF(ISERROR(VLOOKUP(M239,データ!$A$3:$C$23,2,FALSE)),"",VLOOKUP(M239,データ!$A$3:$C$23,2,FALSE)),(IF(ISERROR(VLOOKUP(M239,データ!$A$3:$C$23,2,FALSE)),"",VLOOKUP(M239,データ!$A$3:$C$23,2,FALSE))))</f>
        <v/>
      </c>
    </row>
    <row r="240" spans="1:30" ht="13.5">
      <c r="A240" s="1">
        <f>IF(AND(M240&gt;=VLOOKUP(M240,データ!$K$3:$O$6,1,TRUE),M240&lt;=VLOOKUP(M240,データ!$K$3:$O$6,2,TRUE)),VLOOKUP(M240,データ!$K$3:$O$6,5,TRUE),"")</f>
        <v>1</v>
      </c>
      <c r="B240" s="74">
        <f>IF(AND(M240&gt;=VLOOKUP(M240,データ!$K$3:$O$6,1,TRUE),M240&lt;=VLOOKUP(M240,データ!$K$3:$O$6,2,TRUE)),VLOOKUP(M240,データ!$K$3:$O$6,3,TRUE),"")</f>
        <v>0.41666666666666669</v>
      </c>
      <c r="C240" s="1">
        <f>IF(AND(M240&gt;=VLOOKUP(M240,データ!$K$11:$O$16,1,TRUE),M240&lt;=VLOOKUP(M240,データ!$K$11:$O$16,2,TRUE)),VLOOKUP(M240,データ!$K$11:$O$16,5,TRUE),0)</f>
        <v>0</v>
      </c>
      <c r="D240" s="74" t="str">
        <f>IF(AND(M240&gt;=VLOOKUP(M240,データ!$K$11:$O$16,1,TRUE),M240&lt;=VLOOKUP(M240,データ!$K$11:$O$16,2,TRUE)),VLOOKUP(M240,データ!$K$11:$O$16,3,TRUE),"")</f>
        <v/>
      </c>
      <c r="E240" s="74">
        <f t="shared" si="252"/>
        <v>0.41666666666666669</v>
      </c>
      <c r="F240" s="75">
        <f>VLOOKUP(E240,データ!$K$20:$O$24,5,FALSE)</f>
        <v>0</v>
      </c>
      <c r="G240" s="74">
        <f>IF(AND(M240&gt;=VLOOKUP(M240,データ!$K$3:$O$6,1,TRUE),M240&lt;=VLOOKUP(M240,データ!$K$3:$O$6,2,TRUE)),VLOOKUP(M240,データ!$K$3:$O$6,4,TRUE),"")</f>
        <v>0.70833333333333337</v>
      </c>
      <c r="H240" s="256">
        <f>INDEX(データ!L$21:N$24,MATCH(配置表!E240,データ!K$21:K$24,0),MATCH(配置表!G240,データ!L$20:N$20,0))</f>
        <v>1</v>
      </c>
      <c r="I240" s="52">
        <f>IF(ISERROR(VLOOKUP(M240,データ!$A$3:$C$20,3,FALSE)),"",VLOOKUP(M240,データ!$A$3:$C$20,3,FALSE))</f>
        <v>1</v>
      </c>
      <c r="J240" s="52">
        <f t="shared" si="253"/>
        <v>1</v>
      </c>
      <c r="K240" s="53">
        <f t="shared" ref="K240:K266" si="264">IF(K239=2,IF(I240=1,2,1),IF(I240=1,IF(J240=1,2,0),IF(J240=1,1,0)))</f>
        <v>2</v>
      </c>
      <c r="L240" s="28" t="str">
        <f t="shared" si="254"/>
        <v/>
      </c>
      <c r="M240" s="9">
        <f t="shared" ref="M240:M267" si="265">M239+1</f>
        <v>45964</v>
      </c>
      <c r="N240" s="10" t="str">
        <f t="shared" si="255"/>
        <v>月</v>
      </c>
      <c r="O240" s="63" t="str">
        <f>IF(AND(M240&gt;=VLOOKUP(M240,データ!$E$3:$G$9,1,TRUE),M240&lt;=VLOOKUP(M240,データ!$E$3:$G$9,2,TRUE)),VLOOKUP(M240,データ!$E$3:$G$9,3,TRUE),"")</f>
        <v>秋　特別展</v>
      </c>
      <c r="P240" s="63" t="str">
        <f>IF(AND(M240&gt;=VLOOKUP(M240,データ!$E$14:$G$21,1,TRUE),M240&lt;=VLOOKUP(M240,データ!$E$14:$G$21,2,TRUE)),VLOOKUP(M240,データ!$E$14:$G$21,3,TRUE),"")</f>
        <v>テーマ展</v>
      </c>
      <c r="Q240" s="45" t="str">
        <f t="shared" si="256"/>
        <v>○</v>
      </c>
      <c r="R240" s="45"/>
      <c r="S240" s="10" t="str">
        <f t="shared" si="257"/>
        <v>○</v>
      </c>
      <c r="T240" s="45"/>
      <c r="U240" s="33" t="str">
        <f t="shared" si="258"/>
        <v>●</v>
      </c>
      <c r="V240" s="32"/>
      <c r="W240" s="33" t="str">
        <f t="shared" si="259"/>
        <v>◎</v>
      </c>
      <c r="X240" s="36"/>
      <c r="Y240" s="33" t="str">
        <f t="shared" si="260"/>
        <v>○</v>
      </c>
      <c r="Z240" s="32">
        <f>IF(L240="閉","",(IF(AND(M240&gt;=VLOOKUP(M240,データ!$E$3:$G$9,1,TRUE),M240&lt;=VLOOKUP(M240,データ!$E$3:$G$9,2,TRUE)),VLOOKUP(M240,データ!$E$3:$H$9,4,TRUE),0)+IF(AND(M240&gt;=VLOOKUP(M240,データ!$E$14:$G$21,1,TRUE),M240&lt;=VLOOKUP(M240,データ!$E$14:$G$21,2,TRUE)),VLOOKUP(M240,データ!$E$14:$H$21,4,TRUE),0)))</f>
        <v>5</v>
      </c>
      <c r="AA240" s="33" t="str">
        <f t="shared" si="261"/>
        <v>○</v>
      </c>
      <c r="AB240" s="227">
        <f t="shared" si="262"/>
        <v>0.41666666666666669</v>
      </c>
      <c r="AC240" s="227">
        <f t="shared" si="263"/>
        <v>0.70833333333333337</v>
      </c>
      <c r="AD240" s="228" t="str">
        <f>IF(K240=1,IF(ISERROR(VLOOKUP(M240,データ!$A$3:$C$23,2,FALSE)),"",VLOOKUP(M240,データ!$A$3:$C$23,2,FALSE)),(IF(ISERROR(VLOOKUP(M240,データ!$A$3:$C$23,2,FALSE)),"",VLOOKUP(M240,データ!$A$3:$C$23,2,FALSE))))</f>
        <v>文化の日</v>
      </c>
    </row>
    <row r="241" spans="1:30" ht="13.5">
      <c r="A241" s="1">
        <f>IF(AND(M241&gt;=VLOOKUP(M241,データ!$K$3:$O$6,1,TRUE),M241&lt;=VLOOKUP(M241,データ!$K$3:$O$6,2,TRUE)),VLOOKUP(M241,データ!$K$3:$O$6,5,TRUE),"")</f>
        <v>1</v>
      </c>
      <c r="B241" s="74">
        <f>IF(AND(M241&gt;=VLOOKUP(M241,データ!$K$3:$O$6,1,TRUE),M241&lt;=VLOOKUP(M241,データ!$K$3:$O$6,2,TRUE)),VLOOKUP(M241,データ!$K$3:$O$6,3,TRUE),"")</f>
        <v>0.41666666666666669</v>
      </c>
      <c r="C241" s="1">
        <f>IF(AND(M241&gt;=VLOOKUP(M241,データ!$K$11:$O$16,1,TRUE),M241&lt;=VLOOKUP(M241,データ!$K$11:$O$16,2,TRUE)),VLOOKUP(M241,データ!$K$11:$O$16,5,TRUE),0)</f>
        <v>0</v>
      </c>
      <c r="D241" s="74" t="str">
        <f>IF(AND(M241&gt;=VLOOKUP(M241,データ!$K$11:$O$16,1,TRUE),M241&lt;=VLOOKUP(M241,データ!$K$11:$O$16,2,TRUE)),VLOOKUP(M241,データ!$K$11:$O$16,3,TRUE),"")</f>
        <v/>
      </c>
      <c r="E241" s="74">
        <f t="shared" si="252"/>
        <v>0.41666666666666669</v>
      </c>
      <c r="F241" s="75">
        <f>VLOOKUP(E241,データ!$K$20:$O$24,5,FALSE)</f>
        <v>0</v>
      </c>
      <c r="G241" s="74">
        <f>IF(AND(M241&gt;=VLOOKUP(M241,データ!$K$3:$O$6,1,TRUE),M241&lt;=VLOOKUP(M241,データ!$K$3:$O$6,2,TRUE)),VLOOKUP(M241,データ!$K$3:$O$6,4,TRUE),"")</f>
        <v>0.70833333333333337</v>
      </c>
      <c r="H241" s="256">
        <f>INDEX(データ!L$21:N$24,MATCH(配置表!E241,データ!K$21:K$24,0),MATCH(配置表!G241,データ!L$20:N$20,0))</f>
        <v>1</v>
      </c>
      <c r="I241" s="52" t="str">
        <f>IF(ISERROR(VLOOKUP(M241,データ!$A$3:$C$20,3,FALSE)),"",VLOOKUP(M241,データ!$A$3:$C$20,3,FALSE))</f>
        <v/>
      </c>
      <c r="J241" s="52" t="str">
        <f t="shared" si="253"/>
        <v/>
      </c>
      <c r="K241" s="53">
        <f t="shared" si="264"/>
        <v>1</v>
      </c>
      <c r="L241" s="28" t="str">
        <f t="shared" si="254"/>
        <v>閉</v>
      </c>
      <c r="M241" s="9">
        <f t="shared" si="265"/>
        <v>45965</v>
      </c>
      <c r="N241" s="10" t="str">
        <f t="shared" si="255"/>
        <v>火</v>
      </c>
      <c r="O241" s="63" t="str">
        <f>IF(AND(M241&gt;=VLOOKUP(M241,データ!$E$3:$G$9,1,TRUE),M241&lt;=VLOOKUP(M241,データ!$E$3:$G$9,2,TRUE)),VLOOKUP(M241,データ!$E$3:$G$9,3,TRUE),"")</f>
        <v>秋　特別展</v>
      </c>
      <c r="P241" s="63" t="str">
        <f>IF(AND(M241&gt;=VLOOKUP(M241,データ!$E$14:$G$21,1,TRUE),M241&lt;=VLOOKUP(M241,データ!$E$14:$G$21,2,TRUE)),VLOOKUP(M241,データ!$E$14:$G$21,3,TRUE),"")</f>
        <v>テーマ展</v>
      </c>
      <c r="Q241" s="44" t="str">
        <f t="shared" si="256"/>
        <v>休</v>
      </c>
      <c r="R241" s="36"/>
      <c r="S241" s="10" t="str">
        <f t="shared" ref="S241" si="266">IF(L241="閉","休",IF(O241="","",IF(O241="冬　特別展",IF(OR(N241="土",N241="日",I241=1),"○",""),"○")))</f>
        <v>休</v>
      </c>
      <c r="T241" s="36"/>
      <c r="U241" s="33" t="str">
        <f t="shared" ref="U241:U267" si="267">IF(L241="閉","休",IF(S241="","●","●"))</f>
        <v>休</v>
      </c>
      <c r="V241" s="36"/>
      <c r="W241" s="33" t="str">
        <f t="shared" ref="W241:W267" si="268">IF(L241="閉","休",IF(O241="","",IF(OR(N241="土",N241="日",I241=1),IF(OR(O241="ダミー　特別展",O241="ダミー　特別展"),"◎",IF(OR(O241="夏　特別展",O241="秋　特別展",O241="春　特別展"),"○","")),"")))</f>
        <v>休</v>
      </c>
      <c r="X241" s="36"/>
      <c r="Y241" s="33" t="str">
        <f t="shared" si="260"/>
        <v>休</v>
      </c>
      <c r="Z241" s="32" t="str">
        <f>IF(L241="閉","",(IF(AND(M241&gt;=VLOOKUP(M241,データ!$E$3:$G$9,1,TRUE),M241&lt;=VLOOKUP(M241,データ!$E$3:$G$9,2,TRUE)),VLOOKUP(M241,データ!$E$3:$H$9,4,TRUE),0)+IF(AND(M241&gt;=VLOOKUP(M241,データ!$E$14:$G$21,1,TRUE),M241&lt;=VLOOKUP(M241,データ!$E$14:$G$21,2,TRUE)),VLOOKUP(M241,データ!$E$14:$H$21,4,TRUE),0)))</f>
        <v/>
      </c>
      <c r="AA241" s="33" t="str">
        <f t="shared" si="261"/>
        <v>休</v>
      </c>
      <c r="AB241" s="227" t="str">
        <f t="shared" si="262"/>
        <v/>
      </c>
      <c r="AC241" s="227" t="str">
        <f t="shared" si="263"/>
        <v/>
      </c>
      <c r="AD241" s="228" t="str">
        <f>IF(K241=1,IF(ISERROR(VLOOKUP(M241,データ!$A$3:$C$23,2,FALSE)),"",VLOOKUP(M241,データ!$A$3:$C$23,2,FALSE)),(IF(ISERROR(VLOOKUP(M241,データ!$A$3:$C$23,2,FALSE)),"",VLOOKUP(M241,データ!$A$3:$C$23,2,FALSE))))</f>
        <v/>
      </c>
    </row>
    <row r="242" spans="1:30" ht="13.5">
      <c r="A242" s="1">
        <f>IF(AND(M242&gt;=VLOOKUP(M242,データ!$K$3:$O$6,1,TRUE),M242&lt;=VLOOKUP(M242,データ!$K$3:$O$6,2,TRUE)),VLOOKUP(M242,データ!$K$3:$O$6,5,TRUE),"")</f>
        <v>1</v>
      </c>
      <c r="B242" s="74">
        <f>IF(AND(M242&gt;=VLOOKUP(M242,データ!$K$3:$O$6,1,TRUE),M242&lt;=VLOOKUP(M242,データ!$K$3:$O$6,2,TRUE)),VLOOKUP(M242,データ!$K$3:$O$6,3,TRUE),"")</f>
        <v>0.41666666666666669</v>
      </c>
      <c r="C242" s="1">
        <f>IF(AND(M242&gt;=VLOOKUP(M242,データ!$K$11:$O$16,1,TRUE),M242&lt;=VLOOKUP(M242,データ!$K$11:$O$16,2,TRUE)),VLOOKUP(M242,データ!$K$11:$O$16,5,TRUE),0)</f>
        <v>0</v>
      </c>
      <c r="D242" s="74" t="str">
        <f>IF(AND(M242&gt;=VLOOKUP(M242,データ!$K$11:$O$16,1,TRUE),M242&lt;=VLOOKUP(M242,データ!$K$11:$O$16,2,TRUE)),VLOOKUP(M242,データ!$K$11:$O$16,3,TRUE),"")</f>
        <v/>
      </c>
      <c r="E242" s="74">
        <f t="shared" si="252"/>
        <v>0.41666666666666669</v>
      </c>
      <c r="F242" s="75">
        <f>VLOOKUP(E242,データ!$K$20:$O$24,5,FALSE)</f>
        <v>0</v>
      </c>
      <c r="G242" s="74">
        <f>IF(AND(M242&gt;=VLOOKUP(M242,データ!$K$3:$O$6,1,TRUE),M242&lt;=VLOOKUP(M242,データ!$K$3:$O$6,2,TRUE)),VLOOKUP(M242,データ!$K$3:$O$6,4,TRUE),"")</f>
        <v>0.70833333333333337</v>
      </c>
      <c r="H242" s="256">
        <f>INDEX(データ!L$21:N$24,MATCH(配置表!E242,データ!K$21:K$24,0),MATCH(配置表!G242,データ!L$20:N$20,0))</f>
        <v>1</v>
      </c>
      <c r="I242" s="52" t="str">
        <f>IF(ISERROR(VLOOKUP(M242,データ!$A$3:$C$20,3,FALSE)),"",VLOOKUP(M242,データ!$A$3:$C$20,3,FALSE))</f>
        <v/>
      </c>
      <c r="J242" s="52" t="str">
        <f t="shared" si="253"/>
        <v/>
      </c>
      <c r="K242" s="53">
        <f t="shared" si="264"/>
        <v>0</v>
      </c>
      <c r="L242" s="28" t="str">
        <f t="shared" si="254"/>
        <v/>
      </c>
      <c r="M242" s="9">
        <f t="shared" si="265"/>
        <v>45966</v>
      </c>
      <c r="N242" s="10" t="str">
        <f t="shared" si="255"/>
        <v>水</v>
      </c>
      <c r="O242" s="63" t="str">
        <f>IF(AND(M242&gt;=VLOOKUP(M242,データ!$E$3:$G$9,1,TRUE),M242&lt;=VLOOKUP(M242,データ!$E$3:$G$9,2,TRUE)),VLOOKUP(M242,データ!$E$3:$G$9,3,TRUE),"")</f>
        <v>秋　特別展</v>
      </c>
      <c r="P242" s="63" t="str">
        <f>IF(AND(M242&gt;=VLOOKUP(M242,データ!$E$14:$G$21,1,TRUE),M242&lt;=VLOOKUP(M242,データ!$E$14:$G$21,2,TRUE)),VLOOKUP(M242,データ!$E$14:$G$21,3,TRUE),"")</f>
        <v>テーマ展</v>
      </c>
      <c r="Q242" s="45" t="str">
        <f t="shared" si="256"/>
        <v>○</v>
      </c>
      <c r="R242" s="45"/>
      <c r="S242" s="33" t="str">
        <f t="shared" ref="S242:S244" si="269">IF(H242="閉","休",IF(K242="","",IF(OR(J242="土",J242="日",E242=1),IF(OR(K242="ダミー　特別展",K242="ダミー　特別展"),"◎",IF(OR(K242="夏　特別展",K242="秋　特別展",K242="春　特別展"),"○","")),"")))</f>
        <v/>
      </c>
      <c r="T242" s="45"/>
      <c r="U242" s="33" t="str">
        <f t="shared" si="267"/>
        <v>●</v>
      </c>
      <c r="V242" s="32"/>
      <c r="W242" s="33" t="str">
        <f t="shared" ref="W242:W244" si="270">IF(P242="閉","休",IF(O242="","",IF(O242="冬　特別展",IF(OR(N242="土",N242="日",M242=1),"○",""),"○")))</f>
        <v>○</v>
      </c>
      <c r="X242" s="36"/>
      <c r="Y242" s="33" t="str">
        <f t="shared" si="260"/>
        <v>○</v>
      </c>
      <c r="Z242" s="32">
        <f>IF(L242="閉","",(IF(AND(M242&gt;=VLOOKUP(M242,データ!$E$3:$G$9,1,TRUE),M242&lt;=VLOOKUP(M242,データ!$E$3:$G$9,2,TRUE)),VLOOKUP(M242,データ!$E$3:$H$9,4,TRUE),0)+IF(AND(M242&gt;=VLOOKUP(M242,データ!$E$14:$G$21,1,TRUE),M242&lt;=VLOOKUP(M242,データ!$E$14:$G$21,2,TRUE)),VLOOKUP(M242,データ!$E$14:$H$21,4,TRUE),0)))</f>
        <v>5</v>
      </c>
      <c r="AA242" s="33" t="str">
        <f t="shared" si="261"/>
        <v>○</v>
      </c>
      <c r="AB242" s="227">
        <f t="shared" si="262"/>
        <v>0.41666666666666669</v>
      </c>
      <c r="AC242" s="227">
        <f t="shared" si="263"/>
        <v>0.70833333333333337</v>
      </c>
      <c r="AD242" s="228" t="str">
        <f>IF(K242=1,IF(ISERROR(VLOOKUP(M242,データ!$A$3:$C$23,2,FALSE)),"",VLOOKUP(M242,データ!$A$3:$C$23,2,FALSE)),(IF(ISERROR(VLOOKUP(M242,データ!$A$3:$C$23,2,FALSE)),"",VLOOKUP(M242,データ!$A$3:$C$23,2,FALSE))))</f>
        <v/>
      </c>
    </row>
    <row r="243" spans="1:30" ht="13.5">
      <c r="A243" s="1">
        <f>IF(AND(M243&gt;=VLOOKUP(M243,データ!$K$3:$O$6,1,TRUE),M243&lt;=VLOOKUP(M243,データ!$K$3:$O$6,2,TRUE)),VLOOKUP(M243,データ!$K$3:$O$6,5,TRUE),"")</f>
        <v>1</v>
      </c>
      <c r="B243" s="74">
        <f>IF(AND(M243&gt;=VLOOKUP(M243,データ!$K$3:$O$6,1,TRUE),M243&lt;=VLOOKUP(M243,データ!$K$3:$O$6,2,TRUE)),VLOOKUP(M243,データ!$K$3:$O$6,3,TRUE),"")</f>
        <v>0.41666666666666669</v>
      </c>
      <c r="C243" s="1">
        <f>IF(AND(M243&gt;=VLOOKUP(M243,データ!$K$11:$O$16,1,TRUE),M243&lt;=VLOOKUP(M243,データ!$K$11:$O$16,2,TRUE)),VLOOKUP(M243,データ!$K$11:$O$16,5,TRUE),0)</f>
        <v>0</v>
      </c>
      <c r="D243" s="74" t="str">
        <f>IF(AND(M243&gt;=VLOOKUP(M243,データ!$K$11:$O$16,1,TRUE),M243&lt;=VLOOKUP(M243,データ!$K$11:$O$16,2,TRUE)),VLOOKUP(M243,データ!$K$11:$O$16,3,TRUE),"")</f>
        <v/>
      </c>
      <c r="E243" s="74">
        <f t="shared" si="252"/>
        <v>0.41666666666666669</v>
      </c>
      <c r="F243" s="75">
        <f>VLOOKUP(E243,データ!$K$20:$O$24,5,FALSE)</f>
        <v>0</v>
      </c>
      <c r="G243" s="74">
        <f>IF(AND(M243&gt;=VLOOKUP(M243,データ!$K$3:$O$6,1,TRUE),M243&lt;=VLOOKUP(M243,データ!$K$3:$O$6,2,TRUE)),VLOOKUP(M243,データ!$K$3:$O$6,4,TRUE),"")</f>
        <v>0.70833333333333337</v>
      </c>
      <c r="H243" s="256">
        <f>INDEX(データ!L$21:N$24,MATCH(配置表!E243,データ!K$21:K$24,0),MATCH(配置表!G243,データ!L$20:N$20,0))</f>
        <v>1</v>
      </c>
      <c r="I243" s="52" t="str">
        <f>IF(ISERROR(VLOOKUP(M243,データ!$A$3:$C$20,3,FALSE)),"",VLOOKUP(M243,データ!$A$3:$C$20,3,FALSE))</f>
        <v/>
      </c>
      <c r="J243" s="52" t="str">
        <f t="shared" si="253"/>
        <v/>
      </c>
      <c r="K243" s="53">
        <f t="shared" si="264"/>
        <v>0</v>
      </c>
      <c r="L243" s="28" t="str">
        <f t="shared" si="254"/>
        <v/>
      </c>
      <c r="M243" s="9">
        <f t="shared" si="265"/>
        <v>45967</v>
      </c>
      <c r="N243" s="10" t="str">
        <f t="shared" si="255"/>
        <v>木</v>
      </c>
      <c r="O243" s="63" t="str">
        <f>IF(AND(M243&gt;=VLOOKUP(M243,データ!$E$3:$G$9,1,TRUE),M243&lt;=VLOOKUP(M243,データ!$E$3:$G$9,2,TRUE)),VLOOKUP(M243,データ!$E$3:$G$9,3,TRUE),"")</f>
        <v>秋　特別展</v>
      </c>
      <c r="P243" s="63" t="str">
        <f>IF(AND(M243&gt;=VLOOKUP(M243,データ!$E$14:$G$21,1,TRUE),M243&lt;=VLOOKUP(M243,データ!$E$14:$G$21,2,TRUE)),VLOOKUP(M243,データ!$E$14:$G$21,3,TRUE),"")</f>
        <v>テーマ展</v>
      </c>
      <c r="Q243" s="45" t="str">
        <f t="shared" si="256"/>
        <v>○</v>
      </c>
      <c r="R243" s="45"/>
      <c r="S243" s="33" t="str">
        <f t="shared" si="269"/>
        <v/>
      </c>
      <c r="T243" s="45"/>
      <c r="U243" s="33" t="str">
        <f t="shared" si="267"/>
        <v>●</v>
      </c>
      <c r="V243" s="32"/>
      <c r="W243" s="33" t="str">
        <f t="shared" si="270"/>
        <v>○</v>
      </c>
      <c r="X243" s="36"/>
      <c r="Y243" s="33" t="str">
        <f t="shared" si="260"/>
        <v>○</v>
      </c>
      <c r="Z243" s="32">
        <f>IF(L243="閉","",(IF(AND(M243&gt;=VLOOKUP(M243,データ!$E$3:$G$9,1,TRUE),M243&lt;=VLOOKUP(M243,データ!$E$3:$G$9,2,TRUE)),VLOOKUP(M243,データ!$E$3:$H$9,4,TRUE),0)+IF(AND(M243&gt;=VLOOKUP(M243,データ!$E$14:$G$21,1,TRUE),M243&lt;=VLOOKUP(M243,データ!$E$14:$G$21,2,TRUE)),VLOOKUP(M243,データ!$E$14:$H$21,4,TRUE),0)))</f>
        <v>5</v>
      </c>
      <c r="AA243" s="33" t="str">
        <f t="shared" si="261"/>
        <v>○</v>
      </c>
      <c r="AB243" s="227">
        <f t="shared" si="262"/>
        <v>0.41666666666666669</v>
      </c>
      <c r="AC243" s="227">
        <f t="shared" si="263"/>
        <v>0.70833333333333337</v>
      </c>
      <c r="AD243" s="228" t="str">
        <f>IF(K243=1,IF(ISERROR(VLOOKUP(M243,データ!$A$3:$C$23,2,FALSE)),"",VLOOKUP(M243,データ!$A$3:$C$23,2,FALSE)),(IF(ISERROR(VLOOKUP(M243,データ!$A$3:$C$23,2,FALSE)),"",VLOOKUP(M243,データ!$A$3:$C$23,2,FALSE))))</f>
        <v/>
      </c>
    </row>
    <row r="244" spans="1:30" ht="13.5">
      <c r="A244" s="1">
        <f>IF(AND(M244&gt;=VLOOKUP(M244,データ!$K$3:$O$6,1,TRUE),M244&lt;=VLOOKUP(M244,データ!$K$3:$O$6,2,TRUE)),VLOOKUP(M244,データ!$K$3:$O$6,5,TRUE),"")</f>
        <v>1</v>
      </c>
      <c r="B244" s="74">
        <f>IF(AND(M244&gt;=VLOOKUP(M244,データ!$K$3:$O$6,1,TRUE),M244&lt;=VLOOKUP(M244,データ!$K$3:$O$6,2,TRUE)),VLOOKUP(M244,データ!$K$3:$O$6,3,TRUE),"")</f>
        <v>0.41666666666666669</v>
      </c>
      <c r="C244" s="1">
        <f>IF(AND(M244&gt;=VLOOKUP(M244,データ!$K$11:$O$16,1,TRUE),M244&lt;=VLOOKUP(M244,データ!$K$11:$O$16,2,TRUE)),VLOOKUP(M244,データ!$K$11:$O$16,5,TRUE),0)</f>
        <v>0</v>
      </c>
      <c r="D244" s="74" t="str">
        <f>IF(AND(M244&gt;=VLOOKUP(M244,データ!$K$11:$O$16,1,TRUE),M244&lt;=VLOOKUP(M244,データ!$K$11:$O$16,2,TRUE)),VLOOKUP(M244,データ!$K$11:$O$16,3,TRUE),"")</f>
        <v/>
      </c>
      <c r="E244" s="74">
        <f t="shared" si="252"/>
        <v>0.41666666666666669</v>
      </c>
      <c r="F244" s="75">
        <f>VLOOKUP(E244,データ!$K$20:$O$24,5,FALSE)</f>
        <v>0</v>
      </c>
      <c r="G244" s="74">
        <f>IF(AND(M244&gt;=VLOOKUP(M244,データ!$K$3:$O$6,1,TRUE),M244&lt;=VLOOKUP(M244,データ!$K$3:$O$6,2,TRUE)),VLOOKUP(M244,データ!$K$3:$O$6,4,TRUE),"")</f>
        <v>0.70833333333333337</v>
      </c>
      <c r="H244" s="256">
        <f>INDEX(データ!L$21:N$24,MATCH(配置表!E244,データ!K$21:K$24,0),MATCH(配置表!G244,データ!L$20:N$20,0))</f>
        <v>1</v>
      </c>
      <c r="I244" s="52" t="str">
        <f>IF(ISERROR(VLOOKUP(M244,データ!$A$3:$C$20,3,FALSE)),"",VLOOKUP(M244,データ!$A$3:$C$20,3,FALSE))</f>
        <v/>
      </c>
      <c r="J244" s="52" t="str">
        <f t="shared" si="253"/>
        <v/>
      </c>
      <c r="K244" s="53">
        <f t="shared" si="264"/>
        <v>0</v>
      </c>
      <c r="L244" s="28" t="str">
        <f t="shared" si="254"/>
        <v/>
      </c>
      <c r="M244" s="9">
        <f t="shared" si="265"/>
        <v>45968</v>
      </c>
      <c r="N244" s="10" t="str">
        <f t="shared" si="255"/>
        <v>金</v>
      </c>
      <c r="O244" s="63" t="str">
        <f>IF(AND(M244&gt;=VLOOKUP(M244,データ!$E$3:$G$9,1,TRUE),M244&lt;=VLOOKUP(M244,データ!$E$3:$G$9,2,TRUE)),VLOOKUP(M244,データ!$E$3:$G$9,3,TRUE),"")</f>
        <v>秋　特別展</v>
      </c>
      <c r="P244" s="63" t="str">
        <f>IF(AND(M244&gt;=VLOOKUP(M244,データ!$E$14:$G$21,1,TRUE),M244&lt;=VLOOKUP(M244,データ!$E$14:$G$21,2,TRUE)),VLOOKUP(M244,データ!$E$14:$G$21,3,TRUE),"")</f>
        <v>テーマ展</v>
      </c>
      <c r="Q244" s="45" t="str">
        <f t="shared" si="256"/>
        <v>○</v>
      </c>
      <c r="R244" s="45"/>
      <c r="S244" s="33" t="str">
        <f t="shared" si="269"/>
        <v/>
      </c>
      <c r="T244" s="45"/>
      <c r="U244" s="33" t="str">
        <f t="shared" si="267"/>
        <v>●</v>
      </c>
      <c r="V244" s="32"/>
      <c r="W244" s="33" t="str">
        <f t="shared" si="270"/>
        <v>○</v>
      </c>
      <c r="X244" s="36"/>
      <c r="Y244" s="33" t="str">
        <f t="shared" si="260"/>
        <v>○</v>
      </c>
      <c r="Z244" s="32">
        <f>IF(L244="閉","",(IF(AND(M244&gt;=VLOOKUP(M244,データ!$E$3:$G$9,1,TRUE),M244&lt;=VLOOKUP(M244,データ!$E$3:$G$9,2,TRUE)),VLOOKUP(M244,データ!$E$3:$H$9,4,TRUE),0)+IF(AND(M244&gt;=VLOOKUP(M244,データ!$E$14:$G$21,1,TRUE),M244&lt;=VLOOKUP(M244,データ!$E$14:$G$21,2,TRUE)),VLOOKUP(M244,データ!$E$14:$H$21,4,TRUE),0)))</f>
        <v>5</v>
      </c>
      <c r="AA244" s="33" t="str">
        <f t="shared" si="261"/>
        <v>○</v>
      </c>
      <c r="AB244" s="227">
        <f t="shared" si="262"/>
        <v>0.41666666666666669</v>
      </c>
      <c r="AC244" s="227">
        <f t="shared" si="263"/>
        <v>0.70833333333333337</v>
      </c>
      <c r="AD244" s="228" t="str">
        <f>IF(K244=1,IF(ISERROR(VLOOKUP(M244,データ!$A$3:$C$23,2,FALSE)),"",VLOOKUP(M244,データ!$A$3:$C$23,2,FALSE)),(IF(ISERROR(VLOOKUP(M244,データ!$A$3:$C$23,2,FALSE)),"",VLOOKUP(M244,データ!$A$3:$C$23,2,FALSE))))</f>
        <v/>
      </c>
    </row>
    <row r="245" spans="1:30" ht="13.5">
      <c r="A245" s="1">
        <f>IF(AND(M245&gt;=VLOOKUP(M245,データ!$K$3:$O$6,1,TRUE),M245&lt;=VLOOKUP(M245,データ!$K$3:$O$6,2,TRUE)),VLOOKUP(M245,データ!$K$3:$O$6,5,TRUE),"")</f>
        <v>1</v>
      </c>
      <c r="B245" s="74">
        <f>IF(AND(M245&gt;=VLOOKUP(M245,データ!$K$3:$O$6,1,TRUE),M245&lt;=VLOOKUP(M245,データ!$K$3:$O$6,2,TRUE)),VLOOKUP(M245,データ!$K$3:$O$6,3,TRUE),"")</f>
        <v>0.41666666666666669</v>
      </c>
      <c r="C245" s="1">
        <f>IF(AND(M245&gt;=VLOOKUP(M245,データ!$K$11:$O$16,1,TRUE),M245&lt;=VLOOKUP(M245,データ!$K$11:$O$16,2,TRUE)),VLOOKUP(M245,データ!$K$11:$O$16,5,TRUE),0)</f>
        <v>0</v>
      </c>
      <c r="D245" s="74" t="str">
        <f>IF(AND(M245&gt;=VLOOKUP(M245,データ!$K$11:$O$16,1,TRUE),M245&lt;=VLOOKUP(M245,データ!$K$11:$O$16,2,TRUE)),VLOOKUP(M245,データ!$K$11:$O$16,3,TRUE),"")</f>
        <v/>
      </c>
      <c r="E245" s="74">
        <f t="shared" si="252"/>
        <v>0.41666666666666669</v>
      </c>
      <c r="F245" s="75">
        <f>VLOOKUP(E245,データ!$K$20:$O$24,5,FALSE)</f>
        <v>0</v>
      </c>
      <c r="G245" s="74">
        <f>IF(AND(M245&gt;=VLOOKUP(M245,データ!$K$3:$O$6,1,TRUE),M245&lt;=VLOOKUP(M245,データ!$K$3:$O$6,2,TRUE)),VLOOKUP(M245,データ!$K$3:$O$6,4,TRUE),"")</f>
        <v>0.70833333333333337</v>
      </c>
      <c r="H245" s="256">
        <f>INDEX(データ!L$21:N$24,MATCH(配置表!E245,データ!K$21:K$24,0),MATCH(配置表!G245,データ!L$20:N$20,0))</f>
        <v>1</v>
      </c>
      <c r="I245" s="52" t="str">
        <f>IF(ISERROR(VLOOKUP(M245,データ!$A$3:$C$20,3,FALSE)),"",VLOOKUP(M245,データ!$A$3:$C$20,3,FALSE))</f>
        <v/>
      </c>
      <c r="J245" s="52" t="str">
        <f t="shared" si="253"/>
        <v/>
      </c>
      <c r="K245" s="53">
        <f t="shared" si="264"/>
        <v>0</v>
      </c>
      <c r="L245" s="28" t="str">
        <f t="shared" si="254"/>
        <v/>
      </c>
      <c r="M245" s="9">
        <f t="shared" si="265"/>
        <v>45969</v>
      </c>
      <c r="N245" s="10" t="str">
        <f t="shared" si="255"/>
        <v>土</v>
      </c>
      <c r="O245" s="63" t="str">
        <f>IF(AND(M245&gt;=VLOOKUP(M245,データ!$E$3:$G$9,1,TRUE),M245&lt;=VLOOKUP(M245,データ!$E$3:$G$9,2,TRUE)),VLOOKUP(M245,データ!$E$3:$G$9,3,TRUE),"")</f>
        <v>秋　特別展</v>
      </c>
      <c r="P245" s="63" t="str">
        <f>IF(AND(M245&gt;=VLOOKUP(M245,データ!$E$14:$G$21,1,TRUE),M245&lt;=VLOOKUP(M245,データ!$E$14:$G$21,2,TRUE)),VLOOKUP(M245,データ!$E$14:$G$21,3,TRUE),"")</f>
        <v>テーマ展</v>
      </c>
      <c r="Q245" s="45" t="str">
        <f t="shared" si="256"/>
        <v>○</v>
      </c>
      <c r="R245" s="45"/>
      <c r="S245" s="10" t="str">
        <f t="shared" ref="S245:S246" si="271">IF(L245="閉","休",IF(O245="","",IF(O245="冬　特別展",IF(OR(N245="土",N245="日",I245=1),"○",""),"○")))</f>
        <v>○</v>
      </c>
      <c r="T245" s="45"/>
      <c r="U245" s="33" t="str">
        <f t="shared" si="267"/>
        <v>●</v>
      </c>
      <c r="V245" s="32"/>
      <c r="W245" s="33" t="str">
        <f t="shared" ref="W245:W246" si="272">IF(L245="閉","休",IF(O245="","",IF(OR(N245="土",N245="日",I245=1),IF(OR(O245="ダミー　特別展",O245="ダミー　特別展"),"◎",IF(OR(O245="夏　特別展",O245="秋　特別展",O245="春　特別展"),"◎","")),"")))</f>
        <v>◎</v>
      </c>
      <c r="X245" s="36"/>
      <c r="Y245" s="33" t="str">
        <f t="shared" si="260"/>
        <v>○</v>
      </c>
      <c r="Z245" s="32">
        <f>IF(L245="閉","",(IF(AND(M245&gt;=VLOOKUP(M245,データ!$E$3:$G$9,1,TRUE),M245&lt;=VLOOKUP(M245,データ!$E$3:$G$9,2,TRUE)),VLOOKUP(M245,データ!$E$3:$H$9,4,TRUE),0)+IF(AND(M245&gt;=VLOOKUP(M245,データ!$E$14:$G$21,1,TRUE),M245&lt;=VLOOKUP(M245,データ!$E$14:$G$21,2,TRUE)),VLOOKUP(M245,データ!$E$14:$H$21,4,TRUE),0)))</f>
        <v>5</v>
      </c>
      <c r="AA245" s="33" t="str">
        <f t="shared" si="261"/>
        <v>○</v>
      </c>
      <c r="AB245" s="227">
        <f t="shared" si="262"/>
        <v>0.41666666666666669</v>
      </c>
      <c r="AC245" s="227">
        <f t="shared" si="263"/>
        <v>0.70833333333333337</v>
      </c>
      <c r="AD245" s="228" t="str">
        <f>IF(K245=1,IF(ISERROR(VLOOKUP(M245,データ!$A$3:$C$23,2,FALSE)),"",VLOOKUP(M245,データ!$A$3:$C$23,2,FALSE)),(IF(ISERROR(VLOOKUP(M245,データ!$A$3:$C$23,2,FALSE)),"",VLOOKUP(M245,データ!$A$3:$C$23,2,FALSE))))</f>
        <v/>
      </c>
    </row>
    <row r="246" spans="1:30" ht="13.5">
      <c r="A246" s="1">
        <f>IF(AND(M246&gt;=VLOOKUP(M246,データ!$K$3:$O$6,1,TRUE),M246&lt;=VLOOKUP(M246,データ!$K$3:$O$6,2,TRUE)),VLOOKUP(M246,データ!$K$3:$O$6,5,TRUE),"")</f>
        <v>1</v>
      </c>
      <c r="B246" s="74">
        <f>IF(AND(M246&gt;=VLOOKUP(M246,データ!$K$3:$O$6,1,TRUE),M246&lt;=VLOOKUP(M246,データ!$K$3:$O$6,2,TRUE)),VLOOKUP(M246,データ!$K$3:$O$6,3,TRUE),"")</f>
        <v>0.41666666666666669</v>
      </c>
      <c r="C246" s="1">
        <f>IF(AND(M246&gt;=VLOOKUP(M246,データ!$K$11:$O$16,1,TRUE),M246&lt;=VLOOKUP(M246,データ!$K$11:$O$16,2,TRUE)),VLOOKUP(M246,データ!$K$11:$O$16,5,TRUE),0)</f>
        <v>0</v>
      </c>
      <c r="D246" s="74" t="str">
        <f>IF(AND(M246&gt;=VLOOKUP(M246,データ!$K$11:$O$16,1,TRUE),M246&lt;=VLOOKUP(M246,データ!$K$11:$O$16,2,TRUE)),VLOOKUP(M246,データ!$K$11:$O$16,3,TRUE),"")</f>
        <v/>
      </c>
      <c r="E246" s="74">
        <f t="shared" si="252"/>
        <v>0.41666666666666669</v>
      </c>
      <c r="F246" s="75">
        <f>VLOOKUP(E246,データ!$K$20:$O$24,5,FALSE)</f>
        <v>0</v>
      </c>
      <c r="G246" s="74">
        <f>IF(AND(M246&gt;=VLOOKUP(M246,データ!$K$3:$O$6,1,TRUE),M246&lt;=VLOOKUP(M246,データ!$K$3:$O$6,2,TRUE)),VLOOKUP(M246,データ!$K$3:$O$6,4,TRUE),"")</f>
        <v>0.70833333333333337</v>
      </c>
      <c r="H246" s="256">
        <f>INDEX(データ!L$21:N$24,MATCH(配置表!E246,データ!K$21:K$24,0),MATCH(配置表!G246,データ!L$20:N$20,0))</f>
        <v>1</v>
      </c>
      <c r="I246" s="52" t="str">
        <f>IF(ISERROR(VLOOKUP(M246,データ!$A$3:$C$20,3,FALSE)),"",VLOOKUP(M246,データ!$A$3:$C$20,3,FALSE))</f>
        <v/>
      </c>
      <c r="J246" s="52" t="str">
        <f t="shared" si="253"/>
        <v/>
      </c>
      <c r="K246" s="53">
        <f t="shared" si="264"/>
        <v>0</v>
      </c>
      <c r="L246" s="28" t="str">
        <f t="shared" si="254"/>
        <v/>
      </c>
      <c r="M246" s="9">
        <f t="shared" si="265"/>
        <v>45970</v>
      </c>
      <c r="N246" s="10" t="str">
        <f t="shared" si="255"/>
        <v>日</v>
      </c>
      <c r="O246" s="63" t="str">
        <f>IF(AND(M246&gt;=VLOOKUP(M246,データ!$E$3:$G$9,1,TRUE),M246&lt;=VLOOKUP(M246,データ!$E$3:$G$9,2,TRUE)),VLOOKUP(M246,データ!$E$3:$G$9,3,TRUE),"")</f>
        <v>秋　特別展</v>
      </c>
      <c r="P246" s="63" t="str">
        <f>IF(AND(M246&gt;=VLOOKUP(M246,データ!$E$14:$G$21,1,TRUE),M246&lt;=VLOOKUP(M246,データ!$E$14:$G$21,2,TRUE)),VLOOKUP(M246,データ!$E$14:$G$21,3,TRUE),"")</f>
        <v>テーマ展</v>
      </c>
      <c r="Q246" s="45" t="str">
        <f t="shared" si="256"/>
        <v>○</v>
      </c>
      <c r="R246" s="45"/>
      <c r="S246" s="10" t="str">
        <f t="shared" si="271"/>
        <v>○</v>
      </c>
      <c r="T246" s="45"/>
      <c r="U246" s="33" t="str">
        <f t="shared" si="267"/>
        <v>●</v>
      </c>
      <c r="V246" s="32"/>
      <c r="W246" s="33" t="str">
        <f t="shared" si="272"/>
        <v>◎</v>
      </c>
      <c r="X246" s="36"/>
      <c r="Y246" s="33" t="str">
        <f t="shared" si="260"/>
        <v>○</v>
      </c>
      <c r="Z246" s="32">
        <f>IF(L246="閉","",(IF(AND(M246&gt;=VLOOKUP(M246,データ!$E$3:$G$9,1,TRUE),M246&lt;=VLOOKUP(M246,データ!$E$3:$G$9,2,TRUE)),VLOOKUP(M246,データ!$E$3:$H$9,4,TRUE),0)+IF(AND(M246&gt;=VLOOKUP(M246,データ!$E$14:$G$21,1,TRUE),M246&lt;=VLOOKUP(M246,データ!$E$14:$G$21,2,TRUE)),VLOOKUP(M246,データ!$E$14:$H$21,4,TRUE),0)))</f>
        <v>5</v>
      </c>
      <c r="AA246" s="33" t="str">
        <f t="shared" si="261"/>
        <v>○</v>
      </c>
      <c r="AB246" s="227">
        <f t="shared" si="262"/>
        <v>0.41666666666666669</v>
      </c>
      <c r="AC246" s="227">
        <f t="shared" si="263"/>
        <v>0.70833333333333337</v>
      </c>
      <c r="AD246" s="228" t="str">
        <f>IF(K246=1,IF(ISERROR(VLOOKUP(M246,データ!$A$3:$C$23,2,FALSE)),"",VLOOKUP(M246,データ!$A$3:$C$23,2,FALSE)),(IF(ISERROR(VLOOKUP(M246,データ!$A$3:$C$23,2,FALSE)),"",VLOOKUP(M246,データ!$A$3:$C$23,2,FALSE))))</f>
        <v/>
      </c>
    </row>
    <row r="247" spans="1:30" ht="13.5">
      <c r="A247" s="1">
        <f>IF(AND(M247&gt;=VLOOKUP(M247,データ!$K$3:$O$6,1,TRUE),M247&lt;=VLOOKUP(M247,データ!$K$3:$O$6,2,TRUE)),VLOOKUP(M247,データ!$K$3:$O$6,5,TRUE),"")</f>
        <v>1</v>
      </c>
      <c r="B247" s="74">
        <f>IF(AND(M247&gt;=VLOOKUP(M247,データ!$K$3:$O$6,1,TRUE),M247&lt;=VLOOKUP(M247,データ!$K$3:$O$6,2,TRUE)),VLOOKUP(M247,データ!$K$3:$O$6,3,TRUE),"")</f>
        <v>0.41666666666666669</v>
      </c>
      <c r="C247" s="1">
        <f>IF(AND(M247&gt;=VLOOKUP(M247,データ!$K$11:$O$16,1,TRUE),M247&lt;=VLOOKUP(M247,データ!$K$11:$O$16,2,TRUE)),VLOOKUP(M247,データ!$K$11:$O$16,5,TRUE),0)</f>
        <v>0</v>
      </c>
      <c r="D247" s="74" t="str">
        <f>IF(AND(M247&gt;=VLOOKUP(M247,データ!$K$11:$O$16,1,TRUE),M247&lt;=VLOOKUP(M247,データ!$K$11:$O$16,2,TRUE)),VLOOKUP(M247,データ!$K$11:$O$16,3,TRUE),"")</f>
        <v/>
      </c>
      <c r="E247" s="74">
        <f t="shared" si="252"/>
        <v>0.41666666666666669</v>
      </c>
      <c r="F247" s="75">
        <f>VLOOKUP(E247,データ!$K$20:$O$24,5,FALSE)</f>
        <v>0</v>
      </c>
      <c r="G247" s="74">
        <f>IF(AND(M247&gt;=VLOOKUP(M247,データ!$K$3:$O$6,1,TRUE),M247&lt;=VLOOKUP(M247,データ!$K$3:$O$6,2,TRUE)),VLOOKUP(M247,データ!$K$3:$O$6,4,TRUE),"")</f>
        <v>0.70833333333333337</v>
      </c>
      <c r="H247" s="256">
        <f>INDEX(データ!L$21:N$24,MATCH(配置表!E247,データ!K$21:K$24,0),MATCH(配置表!G247,データ!L$20:N$20,0))</f>
        <v>1</v>
      </c>
      <c r="I247" s="52" t="str">
        <f>IF(ISERROR(VLOOKUP(M247,データ!$A$3:$C$20,3,FALSE)),"",VLOOKUP(M247,データ!$A$3:$C$20,3,FALSE))</f>
        <v/>
      </c>
      <c r="J247" s="52">
        <f t="shared" si="253"/>
        <v>1</v>
      </c>
      <c r="K247" s="53">
        <f t="shared" si="264"/>
        <v>1</v>
      </c>
      <c r="L247" s="28" t="str">
        <f t="shared" si="254"/>
        <v>閉</v>
      </c>
      <c r="M247" s="9">
        <f t="shared" si="265"/>
        <v>45971</v>
      </c>
      <c r="N247" s="10" t="str">
        <f t="shared" si="255"/>
        <v>月</v>
      </c>
      <c r="O247" s="63" t="str">
        <f>IF(AND(M247&gt;=VLOOKUP(M247,データ!$E$3:$G$9,1,TRUE),M247&lt;=VLOOKUP(M247,データ!$E$3:$G$9,2,TRUE)),VLOOKUP(M247,データ!$E$3:$G$9,3,TRUE),"")</f>
        <v>秋　特別展</v>
      </c>
      <c r="P247" s="63" t="str">
        <f>IF(AND(M247&gt;=VLOOKUP(M247,データ!$E$14:$G$21,1,TRUE),M247&lt;=VLOOKUP(M247,データ!$E$14:$G$21,2,TRUE)),VLOOKUP(M247,データ!$E$14:$G$21,3,TRUE),"")</f>
        <v>テーマ展</v>
      </c>
      <c r="Q247" s="44" t="str">
        <f t="shared" si="256"/>
        <v>休</v>
      </c>
      <c r="R247" s="45"/>
      <c r="S247" s="10" t="str">
        <f>IF(L247="閉","休",IF(O247="","",IF(O247="冬　特別展",IF(OR(N247="土",N247="日",I247=1),"○",""),"○")))</f>
        <v>休</v>
      </c>
      <c r="T247" s="36"/>
      <c r="U247" s="33" t="str">
        <f t="shared" si="267"/>
        <v>休</v>
      </c>
      <c r="V247" s="36"/>
      <c r="W247" s="33" t="str">
        <f t="shared" si="268"/>
        <v>休</v>
      </c>
      <c r="X247" s="36"/>
      <c r="Y247" s="33" t="str">
        <f t="shared" si="260"/>
        <v>休</v>
      </c>
      <c r="Z247" s="32" t="str">
        <f>IF(L247="閉","",(IF(AND(M247&gt;=VLOOKUP(M247,データ!$E$3:$G$9,1,TRUE),M247&lt;=VLOOKUP(M247,データ!$E$3:$G$9,2,TRUE)),VLOOKUP(M247,データ!$E$3:$H$9,4,TRUE),0)+IF(AND(M247&gt;=VLOOKUP(M247,データ!$E$14:$G$21,1,TRUE),M247&lt;=VLOOKUP(M247,データ!$E$14:$G$21,2,TRUE)),VLOOKUP(M247,データ!$E$14:$H$21,4,TRUE),0)))</f>
        <v/>
      </c>
      <c r="AA247" s="33" t="str">
        <f t="shared" si="261"/>
        <v>休</v>
      </c>
      <c r="AB247" s="227" t="str">
        <f t="shared" si="262"/>
        <v/>
      </c>
      <c r="AC247" s="227" t="str">
        <f t="shared" si="263"/>
        <v/>
      </c>
      <c r="AD247" s="228" t="str">
        <f>IF(K247=1,IF(ISERROR(VLOOKUP(M247,データ!$A$3:$C$23,2,FALSE)),"",VLOOKUP(M247,データ!$A$3:$C$23,2,FALSE)),(IF(ISERROR(VLOOKUP(M247,データ!$A$3:$C$23,2,FALSE)),"",VLOOKUP(M247,データ!$A$3:$C$23,2,FALSE))))</f>
        <v/>
      </c>
    </row>
    <row r="248" spans="1:30" ht="13.5">
      <c r="A248" s="1">
        <f>IF(AND(M248&gt;=VLOOKUP(M248,データ!$K$3:$O$6,1,TRUE),M248&lt;=VLOOKUP(M248,データ!$K$3:$O$6,2,TRUE)),VLOOKUP(M248,データ!$K$3:$O$6,5,TRUE),"")</f>
        <v>1</v>
      </c>
      <c r="B248" s="74">
        <f>IF(AND(M248&gt;=VLOOKUP(M248,データ!$K$3:$O$6,1,TRUE),M248&lt;=VLOOKUP(M248,データ!$K$3:$O$6,2,TRUE)),VLOOKUP(M248,データ!$K$3:$O$6,3,TRUE),"")</f>
        <v>0.41666666666666669</v>
      </c>
      <c r="C248" s="1">
        <f>IF(AND(M248&gt;=VLOOKUP(M248,データ!$K$11:$O$16,1,TRUE),M248&lt;=VLOOKUP(M248,データ!$K$11:$O$16,2,TRUE)),VLOOKUP(M248,データ!$K$11:$O$16,5,TRUE),0)</f>
        <v>0</v>
      </c>
      <c r="D248" s="74" t="str">
        <f>IF(AND(M248&gt;=VLOOKUP(M248,データ!$K$11:$O$16,1,TRUE),M248&lt;=VLOOKUP(M248,データ!$K$11:$O$16,2,TRUE)),VLOOKUP(M248,データ!$K$11:$O$16,3,TRUE),"")</f>
        <v/>
      </c>
      <c r="E248" s="74">
        <f t="shared" si="252"/>
        <v>0.41666666666666669</v>
      </c>
      <c r="F248" s="75">
        <f>VLOOKUP(E248,データ!$K$20:$O$24,5,FALSE)</f>
        <v>0</v>
      </c>
      <c r="G248" s="74">
        <f>IF(AND(M248&gt;=VLOOKUP(M248,データ!$K$3:$O$6,1,TRUE),M248&lt;=VLOOKUP(M248,データ!$K$3:$O$6,2,TRUE)),VLOOKUP(M248,データ!$K$3:$O$6,4,TRUE),"")</f>
        <v>0.70833333333333337</v>
      </c>
      <c r="H248" s="256">
        <f>INDEX(データ!L$21:N$24,MATCH(配置表!E248,データ!K$21:K$24,0),MATCH(配置表!G248,データ!L$20:N$20,0))</f>
        <v>1</v>
      </c>
      <c r="I248" s="52" t="str">
        <f>IF(ISERROR(VLOOKUP(M248,データ!$A$3:$C$20,3,FALSE)),"",VLOOKUP(M248,データ!$A$3:$C$20,3,FALSE))</f>
        <v/>
      </c>
      <c r="J248" s="52" t="str">
        <f t="shared" si="253"/>
        <v/>
      </c>
      <c r="K248" s="53">
        <f t="shared" si="264"/>
        <v>0</v>
      </c>
      <c r="L248" s="28" t="str">
        <f t="shared" si="254"/>
        <v/>
      </c>
      <c r="M248" s="9">
        <f t="shared" si="265"/>
        <v>45972</v>
      </c>
      <c r="N248" s="10" t="str">
        <f t="shared" si="255"/>
        <v>火</v>
      </c>
      <c r="O248" s="63" t="str">
        <f>IF(AND(M248&gt;=VLOOKUP(M248,データ!$E$3:$G$9,1,TRUE),M248&lt;=VLOOKUP(M248,データ!$E$3:$G$9,2,TRUE)),VLOOKUP(M248,データ!$E$3:$G$9,3,TRUE),"")</f>
        <v>秋　特別展</v>
      </c>
      <c r="P248" s="63" t="str">
        <f>IF(AND(M248&gt;=VLOOKUP(M248,データ!$E$14:$G$21,1,TRUE),M248&lt;=VLOOKUP(M248,データ!$E$14:$G$21,2,TRUE)),VLOOKUP(M248,データ!$E$14:$G$21,3,TRUE),"")</f>
        <v>テーマ展</v>
      </c>
      <c r="Q248" s="45" t="str">
        <f t="shared" si="256"/>
        <v>○</v>
      </c>
      <c r="R248" s="45"/>
      <c r="S248" s="33" t="str">
        <f t="shared" ref="S248:S251" si="273">IF(H248="閉","休",IF(K248="","",IF(OR(J248="土",J248="日",E248=1),IF(OR(K248="ダミー　特別展",K248="ダミー　特別展"),"◎",IF(OR(K248="夏　特別展",K248="秋　特別展",K248="春　特別展"),"○","")),"")))</f>
        <v/>
      </c>
      <c r="T248" s="45"/>
      <c r="U248" s="33" t="str">
        <f t="shared" si="267"/>
        <v>●</v>
      </c>
      <c r="V248" s="32"/>
      <c r="W248" s="33" t="str">
        <f t="shared" ref="W248:W251" si="274">IF(P248="閉","休",IF(O248="","",IF(O248="冬　特別展",IF(OR(N248="土",N248="日",M248=1),"○",""),"○")))</f>
        <v>○</v>
      </c>
      <c r="X248" s="36"/>
      <c r="Y248" s="33" t="str">
        <f t="shared" si="260"/>
        <v>○</v>
      </c>
      <c r="Z248" s="32">
        <f>IF(L248="閉","",(IF(AND(M248&gt;=VLOOKUP(M248,データ!$E$3:$G$9,1,TRUE),M248&lt;=VLOOKUP(M248,データ!$E$3:$G$9,2,TRUE)),VLOOKUP(M248,データ!$E$3:$H$9,4,TRUE),0)+IF(AND(M248&gt;=VLOOKUP(M248,データ!$E$14:$G$21,1,TRUE),M248&lt;=VLOOKUP(M248,データ!$E$14:$G$21,2,TRUE)),VLOOKUP(M248,データ!$E$14:$H$21,4,TRUE),0)))</f>
        <v>5</v>
      </c>
      <c r="AA248" s="33" t="str">
        <f t="shared" si="261"/>
        <v>○</v>
      </c>
      <c r="AB248" s="227">
        <f t="shared" si="262"/>
        <v>0.41666666666666669</v>
      </c>
      <c r="AC248" s="227">
        <f t="shared" si="263"/>
        <v>0.70833333333333337</v>
      </c>
      <c r="AD248" s="228" t="str">
        <f>IF(K248=1,IF(ISERROR(VLOOKUP(M248,データ!$A$3:$C$23,2,FALSE)),"",VLOOKUP(M248,データ!$A$3:$C$23,2,FALSE)),(IF(ISERROR(VLOOKUP(M248,データ!$A$3:$C$23,2,FALSE)),"",VLOOKUP(M248,データ!$A$3:$C$23,2,FALSE))))</f>
        <v/>
      </c>
    </row>
    <row r="249" spans="1:30" ht="13.5">
      <c r="A249" s="1">
        <f>IF(AND(M249&gt;=VLOOKUP(M249,データ!$K$3:$O$6,1,TRUE),M249&lt;=VLOOKUP(M249,データ!$K$3:$O$6,2,TRUE)),VLOOKUP(M249,データ!$K$3:$O$6,5,TRUE),"")</f>
        <v>1</v>
      </c>
      <c r="B249" s="74">
        <f>IF(AND(M249&gt;=VLOOKUP(M249,データ!$K$3:$O$6,1,TRUE),M249&lt;=VLOOKUP(M249,データ!$K$3:$O$6,2,TRUE)),VLOOKUP(M249,データ!$K$3:$O$6,3,TRUE),"")</f>
        <v>0.41666666666666669</v>
      </c>
      <c r="C249" s="1">
        <f>IF(AND(M249&gt;=VLOOKUP(M249,データ!$K$11:$O$16,1,TRUE),M249&lt;=VLOOKUP(M249,データ!$K$11:$O$16,2,TRUE)),VLOOKUP(M249,データ!$K$11:$O$16,5,TRUE),0)</f>
        <v>0</v>
      </c>
      <c r="D249" s="74" t="str">
        <f>IF(AND(M249&gt;=VLOOKUP(M249,データ!$K$11:$O$16,1,TRUE),M249&lt;=VLOOKUP(M249,データ!$K$11:$O$16,2,TRUE)),VLOOKUP(M249,データ!$K$11:$O$16,3,TRUE),"")</f>
        <v/>
      </c>
      <c r="E249" s="74">
        <f t="shared" si="252"/>
        <v>0.41666666666666669</v>
      </c>
      <c r="F249" s="75">
        <f>VLOOKUP(E249,データ!$K$20:$O$24,5,FALSE)</f>
        <v>0</v>
      </c>
      <c r="G249" s="74">
        <f>IF(AND(M249&gt;=VLOOKUP(M249,データ!$K$3:$O$6,1,TRUE),M249&lt;=VLOOKUP(M249,データ!$K$3:$O$6,2,TRUE)),VLOOKUP(M249,データ!$K$3:$O$6,4,TRUE),"")</f>
        <v>0.70833333333333337</v>
      </c>
      <c r="H249" s="256">
        <f>INDEX(データ!L$21:N$24,MATCH(配置表!E249,データ!K$21:K$24,0),MATCH(配置表!G249,データ!L$20:N$20,0))</f>
        <v>1</v>
      </c>
      <c r="I249" s="52" t="str">
        <f>IF(ISERROR(VLOOKUP(M249,データ!$A$3:$C$20,3,FALSE)),"",VLOOKUP(M249,データ!$A$3:$C$20,3,FALSE))</f>
        <v/>
      </c>
      <c r="J249" s="52" t="str">
        <f t="shared" si="253"/>
        <v/>
      </c>
      <c r="K249" s="53">
        <f t="shared" si="264"/>
        <v>0</v>
      </c>
      <c r="L249" s="28" t="str">
        <f t="shared" si="254"/>
        <v/>
      </c>
      <c r="M249" s="9">
        <f t="shared" si="265"/>
        <v>45973</v>
      </c>
      <c r="N249" s="10" t="str">
        <f t="shared" si="255"/>
        <v>水</v>
      </c>
      <c r="O249" s="63" t="str">
        <f>IF(AND(M249&gt;=VLOOKUP(M249,データ!$E$3:$G$9,1,TRUE),M249&lt;=VLOOKUP(M249,データ!$E$3:$G$9,2,TRUE)),VLOOKUP(M249,データ!$E$3:$G$9,3,TRUE),"")</f>
        <v>秋　特別展</v>
      </c>
      <c r="P249" s="63" t="str">
        <f>IF(AND(M249&gt;=VLOOKUP(M249,データ!$E$14:$G$21,1,TRUE),M249&lt;=VLOOKUP(M249,データ!$E$14:$G$21,2,TRUE)),VLOOKUP(M249,データ!$E$14:$G$21,3,TRUE),"")</f>
        <v>テーマ展</v>
      </c>
      <c r="Q249" s="45" t="str">
        <f t="shared" si="256"/>
        <v>○</v>
      </c>
      <c r="R249" s="45"/>
      <c r="S249" s="33" t="str">
        <f t="shared" si="273"/>
        <v/>
      </c>
      <c r="T249" s="45"/>
      <c r="U249" s="33" t="str">
        <f t="shared" si="267"/>
        <v>●</v>
      </c>
      <c r="V249" s="32"/>
      <c r="W249" s="33" t="str">
        <f t="shared" si="274"/>
        <v>○</v>
      </c>
      <c r="X249" s="36"/>
      <c r="Y249" s="33" t="str">
        <f t="shared" si="260"/>
        <v>○</v>
      </c>
      <c r="Z249" s="32">
        <f>IF(L249="閉","",(IF(AND(M249&gt;=VLOOKUP(M249,データ!$E$3:$G$9,1,TRUE),M249&lt;=VLOOKUP(M249,データ!$E$3:$G$9,2,TRUE)),VLOOKUP(M249,データ!$E$3:$H$9,4,TRUE),0)+IF(AND(M249&gt;=VLOOKUP(M249,データ!$E$14:$G$21,1,TRUE),M249&lt;=VLOOKUP(M249,データ!$E$14:$G$21,2,TRUE)),VLOOKUP(M249,データ!$E$14:$H$21,4,TRUE),0)))</f>
        <v>5</v>
      </c>
      <c r="AA249" s="33" t="str">
        <f t="shared" si="261"/>
        <v>○</v>
      </c>
      <c r="AB249" s="227">
        <f t="shared" si="262"/>
        <v>0.41666666666666669</v>
      </c>
      <c r="AC249" s="227">
        <f t="shared" si="263"/>
        <v>0.70833333333333337</v>
      </c>
      <c r="AD249" s="228" t="str">
        <f>IF(K249=1,IF(ISERROR(VLOOKUP(M249,データ!$A$3:$C$23,2,FALSE)),"",VLOOKUP(M249,データ!$A$3:$C$23,2,FALSE)),(IF(ISERROR(VLOOKUP(M249,データ!$A$3:$C$23,2,FALSE)),"",VLOOKUP(M249,データ!$A$3:$C$23,2,FALSE))))</f>
        <v/>
      </c>
    </row>
    <row r="250" spans="1:30">
      <c r="A250" s="1">
        <f>IF(AND(M250&gt;=VLOOKUP(M250,データ!$K$3:$O$6,1,TRUE),M250&lt;=VLOOKUP(M250,データ!$K$3:$O$6,2,TRUE)),VLOOKUP(M250,データ!$K$3:$O$6,5,TRUE),"")</f>
        <v>1</v>
      </c>
      <c r="B250" s="74">
        <f>IF(AND(M250&gt;=VLOOKUP(M250,データ!$K$3:$O$6,1,TRUE),M250&lt;=VLOOKUP(M250,データ!$K$3:$O$6,2,TRUE)),VLOOKUP(M250,データ!$K$3:$O$6,3,TRUE),"")</f>
        <v>0.41666666666666669</v>
      </c>
      <c r="C250" s="1">
        <f>IF(AND(M250&gt;=VLOOKUP(M250,データ!$K$11:$O$16,1,TRUE),M250&lt;=VLOOKUP(M250,データ!$K$11:$O$16,2,TRUE)),VLOOKUP(M250,データ!$K$11:$O$16,5,TRUE),0)</f>
        <v>0</v>
      </c>
      <c r="D250" s="74" t="str">
        <f>IF(AND(M250&gt;=VLOOKUP(M250,データ!$K$11:$O$16,1,TRUE),M250&lt;=VLOOKUP(M250,データ!$K$11:$O$16,2,TRUE)),VLOOKUP(M250,データ!$K$11:$O$16,3,TRUE),"")</f>
        <v/>
      </c>
      <c r="E250" s="74">
        <f t="shared" si="252"/>
        <v>0.41666666666666669</v>
      </c>
      <c r="F250" s="75">
        <f>VLOOKUP(E250,データ!$K$20:$O$24,5,FALSE)</f>
        <v>0</v>
      </c>
      <c r="G250" s="74">
        <f>IF(AND(M250&gt;=VLOOKUP(M250,データ!$K$3:$O$6,1,TRUE),M250&lt;=VLOOKUP(M250,データ!$K$3:$O$6,2,TRUE)),VLOOKUP(M250,データ!$K$3:$O$6,4,TRUE),"")</f>
        <v>0.70833333333333337</v>
      </c>
      <c r="H250" s="256">
        <f>INDEX(データ!L$21:N$24,MATCH(配置表!E250,データ!K$21:K$24,0),MATCH(配置表!G250,データ!L$20:N$20,0))</f>
        <v>1</v>
      </c>
      <c r="I250" s="52" t="str">
        <f>IF(ISERROR(VLOOKUP(M250,データ!$A$3:$C$20,3,FALSE)),"",VLOOKUP(M250,データ!$A$3:$C$20,3,FALSE))</f>
        <v/>
      </c>
      <c r="J250" s="52" t="str">
        <f t="shared" si="253"/>
        <v/>
      </c>
      <c r="K250" s="53">
        <f t="shared" si="264"/>
        <v>0</v>
      </c>
      <c r="L250" s="28" t="str">
        <f t="shared" si="254"/>
        <v/>
      </c>
      <c r="M250" s="9">
        <f t="shared" si="265"/>
        <v>45974</v>
      </c>
      <c r="N250" s="10" t="str">
        <f t="shared" si="255"/>
        <v>木</v>
      </c>
      <c r="O250" s="63" t="str">
        <f>IF(AND(M250&gt;=VLOOKUP(M250,データ!$E$3:$G$9,1,TRUE),M250&lt;=VLOOKUP(M250,データ!$E$3:$G$9,2,TRUE)),VLOOKUP(M250,データ!$E$3:$G$9,3,TRUE),"")</f>
        <v>秋　特別展</v>
      </c>
      <c r="P250" s="63" t="str">
        <f>IF(AND(M250&gt;=VLOOKUP(M250,データ!$E$14:$G$21,1,TRUE),M250&lt;=VLOOKUP(M250,データ!$E$14:$G$21,2,TRUE)),VLOOKUP(M250,データ!$E$14:$G$21,3,TRUE),"")</f>
        <v>テーマ展</v>
      </c>
      <c r="Q250" s="45" t="str">
        <f t="shared" si="256"/>
        <v>○</v>
      </c>
      <c r="R250" s="45"/>
      <c r="S250" s="33" t="str">
        <f t="shared" si="273"/>
        <v/>
      </c>
      <c r="T250" s="45"/>
      <c r="U250" s="33" t="str">
        <f t="shared" si="267"/>
        <v>●</v>
      </c>
      <c r="V250" s="32"/>
      <c r="W250" s="33" t="str">
        <f t="shared" si="274"/>
        <v>○</v>
      </c>
      <c r="X250" s="32"/>
      <c r="Y250" s="33" t="str">
        <f t="shared" si="260"/>
        <v>○</v>
      </c>
      <c r="Z250" s="32">
        <f>IF(L250="閉","",(IF(AND(M250&gt;=VLOOKUP(M250,データ!$E$3:$G$9,1,TRUE),M250&lt;=VLOOKUP(M250,データ!$E$3:$G$9,2,TRUE)),VLOOKUP(M250,データ!$E$3:$H$9,4,TRUE),0)+IF(AND(M250&gt;=VLOOKUP(M250,データ!$E$14:$G$21,1,TRUE),M250&lt;=VLOOKUP(M250,データ!$E$14:$G$21,2,TRUE)),VLOOKUP(M250,データ!$E$14:$H$21,4,TRUE),0)))</f>
        <v>5</v>
      </c>
      <c r="AA250" s="33" t="str">
        <f t="shared" si="261"/>
        <v>○</v>
      </c>
      <c r="AB250" s="227">
        <f t="shared" si="262"/>
        <v>0.41666666666666669</v>
      </c>
      <c r="AC250" s="227">
        <f t="shared" si="263"/>
        <v>0.70833333333333337</v>
      </c>
      <c r="AD250" s="228" t="str">
        <f>IF(K250=1,IF(ISERROR(VLOOKUP(M250,データ!$A$3:$C$23,2,FALSE)),"",VLOOKUP(M250,データ!$A$3:$C$23,2,FALSE)),(IF(ISERROR(VLOOKUP(M250,データ!$A$3:$C$23,2,FALSE)),"",VLOOKUP(M250,データ!$A$3:$C$23,2,FALSE))))</f>
        <v/>
      </c>
    </row>
    <row r="251" spans="1:30">
      <c r="A251" s="1">
        <f>IF(AND(M251&gt;=VLOOKUP(M251,データ!$K$3:$O$6,1,TRUE),M251&lt;=VLOOKUP(M251,データ!$K$3:$O$6,2,TRUE)),VLOOKUP(M251,データ!$K$3:$O$6,5,TRUE),"")</f>
        <v>1</v>
      </c>
      <c r="B251" s="74">
        <f>IF(AND(M251&gt;=VLOOKUP(M251,データ!$K$3:$O$6,1,TRUE),M251&lt;=VLOOKUP(M251,データ!$K$3:$O$6,2,TRUE)),VLOOKUP(M251,データ!$K$3:$O$6,3,TRUE),"")</f>
        <v>0.41666666666666669</v>
      </c>
      <c r="C251" s="1">
        <f>IF(AND(M251&gt;=VLOOKUP(M251,データ!$K$11:$O$16,1,TRUE),M251&lt;=VLOOKUP(M251,データ!$K$11:$O$16,2,TRUE)),VLOOKUP(M251,データ!$K$11:$O$16,5,TRUE),0)</f>
        <v>0</v>
      </c>
      <c r="D251" s="74" t="str">
        <f>IF(AND(M251&gt;=VLOOKUP(M251,データ!$K$11:$O$16,1,TRUE),M251&lt;=VLOOKUP(M251,データ!$K$11:$O$16,2,TRUE)),VLOOKUP(M251,データ!$K$11:$O$16,3,TRUE),"")</f>
        <v/>
      </c>
      <c r="E251" s="74">
        <f t="shared" si="252"/>
        <v>0.41666666666666669</v>
      </c>
      <c r="F251" s="75">
        <f>VLOOKUP(E251,データ!$K$20:$O$24,5,FALSE)</f>
        <v>0</v>
      </c>
      <c r="G251" s="74">
        <f>IF(AND(M251&gt;=VLOOKUP(M251,データ!$K$3:$O$6,1,TRUE),M251&lt;=VLOOKUP(M251,データ!$K$3:$O$6,2,TRUE)),VLOOKUP(M251,データ!$K$3:$O$6,4,TRUE),"")</f>
        <v>0.70833333333333337</v>
      </c>
      <c r="H251" s="256">
        <f>INDEX(データ!L$21:N$24,MATCH(配置表!E251,データ!K$21:K$24,0),MATCH(配置表!G251,データ!L$20:N$20,0))</f>
        <v>1</v>
      </c>
      <c r="I251" s="52" t="str">
        <f>IF(ISERROR(VLOOKUP(M251,データ!$A$3:$C$20,3,FALSE)),"",VLOOKUP(M251,データ!$A$3:$C$20,3,FALSE))</f>
        <v/>
      </c>
      <c r="J251" s="52" t="str">
        <f t="shared" si="253"/>
        <v/>
      </c>
      <c r="K251" s="53">
        <f t="shared" si="264"/>
        <v>0</v>
      </c>
      <c r="L251" s="28" t="str">
        <f t="shared" si="254"/>
        <v/>
      </c>
      <c r="M251" s="9">
        <f t="shared" si="265"/>
        <v>45975</v>
      </c>
      <c r="N251" s="10" t="str">
        <f t="shared" si="255"/>
        <v>金</v>
      </c>
      <c r="O251" s="63" t="str">
        <f>IF(AND(M251&gt;=VLOOKUP(M251,データ!$E$3:$G$9,1,TRUE),M251&lt;=VLOOKUP(M251,データ!$E$3:$G$9,2,TRUE)),VLOOKUP(M251,データ!$E$3:$G$9,3,TRUE),"")</f>
        <v>秋　特別展</v>
      </c>
      <c r="P251" s="63" t="str">
        <f>IF(AND(M251&gt;=VLOOKUP(M251,データ!$E$14:$G$21,1,TRUE),M251&lt;=VLOOKUP(M251,データ!$E$14:$G$21,2,TRUE)),VLOOKUP(M251,データ!$E$14:$G$21,3,TRUE),"")</f>
        <v>テーマ展</v>
      </c>
      <c r="Q251" s="45" t="str">
        <f t="shared" si="256"/>
        <v>○</v>
      </c>
      <c r="R251" s="45"/>
      <c r="S251" s="33" t="str">
        <f t="shared" si="273"/>
        <v/>
      </c>
      <c r="T251" s="45"/>
      <c r="U251" s="33" t="str">
        <f t="shared" si="267"/>
        <v>●</v>
      </c>
      <c r="V251" s="32"/>
      <c r="W251" s="33" t="str">
        <f t="shared" si="274"/>
        <v>○</v>
      </c>
      <c r="X251" s="32"/>
      <c r="Y251" s="33" t="str">
        <f t="shared" si="260"/>
        <v>○</v>
      </c>
      <c r="Z251" s="32">
        <f>IF(L251="閉","",(IF(AND(M251&gt;=VLOOKUP(M251,データ!$E$3:$G$9,1,TRUE),M251&lt;=VLOOKUP(M251,データ!$E$3:$G$9,2,TRUE)),VLOOKUP(M251,データ!$E$3:$H$9,4,TRUE),0)+IF(AND(M251&gt;=VLOOKUP(M251,データ!$E$14:$G$21,1,TRUE),M251&lt;=VLOOKUP(M251,データ!$E$14:$G$21,2,TRUE)),VLOOKUP(M251,データ!$E$14:$H$21,4,TRUE),0)))</f>
        <v>5</v>
      </c>
      <c r="AA251" s="33" t="str">
        <f t="shared" si="261"/>
        <v>○</v>
      </c>
      <c r="AB251" s="227">
        <f t="shared" si="262"/>
        <v>0.41666666666666669</v>
      </c>
      <c r="AC251" s="227">
        <f t="shared" si="263"/>
        <v>0.70833333333333337</v>
      </c>
      <c r="AD251" s="228" t="str">
        <f>IF(K251=1,IF(ISERROR(VLOOKUP(M251,データ!$A$3:$C$23,2,FALSE)),"",VLOOKUP(M251,データ!$A$3:$C$23,2,FALSE)),(IF(ISERROR(VLOOKUP(M251,データ!$A$3:$C$23,2,FALSE)),"",VLOOKUP(M251,データ!$A$3:$C$23,2,FALSE))))</f>
        <v/>
      </c>
    </row>
    <row r="252" spans="1:30">
      <c r="A252" s="1">
        <f>IF(AND(M252&gt;=VLOOKUP(M252,データ!$K$3:$O$6,1,TRUE),M252&lt;=VLOOKUP(M252,データ!$K$3:$O$6,2,TRUE)),VLOOKUP(M252,データ!$K$3:$O$6,5,TRUE),"")</f>
        <v>1</v>
      </c>
      <c r="B252" s="74">
        <f>IF(AND(M252&gt;=VLOOKUP(M252,データ!$K$3:$O$6,1,TRUE),M252&lt;=VLOOKUP(M252,データ!$K$3:$O$6,2,TRUE)),VLOOKUP(M252,データ!$K$3:$O$6,3,TRUE),"")</f>
        <v>0.41666666666666669</v>
      </c>
      <c r="C252" s="1">
        <f>IF(AND(M252&gt;=VLOOKUP(M252,データ!$K$11:$O$16,1,TRUE),M252&lt;=VLOOKUP(M252,データ!$K$11:$O$16,2,TRUE)),VLOOKUP(M252,データ!$K$11:$O$16,5,TRUE),0)</f>
        <v>0</v>
      </c>
      <c r="D252" s="74" t="str">
        <f>IF(AND(M252&gt;=VLOOKUP(M252,データ!$K$11:$O$16,1,TRUE),M252&lt;=VLOOKUP(M252,データ!$K$11:$O$16,2,TRUE)),VLOOKUP(M252,データ!$K$11:$O$16,3,TRUE),"")</f>
        <v/>
      </c>
      <c r="E252" s="74">
        <f t="shared" si="252"/>
        <v>0.41666666666666669</v>
      </c>
      <c r="F252" s="75">
        <f>VLOOKUP(E252,データ!$K$20:$O$24,5,FALSE)</f>
        <v>0</v>
      </c>
      <c r="G252" s="74">
        <f>IF(AND(M252&gt;=VLOOKUP(M252,データ!$K$3:$O$6,1,TRUE),M252&lt;=VLOOKUP(M252,データ!$K$3:$O$6,2,TRUE)),VLOOKUP(M252,データ!$K$3:$O$6,4,TRUE),"")</f>
        <v>0.70833333333333337</v>
      </c>
      <c r="H252" s="256">
        <f>INDEX(データ!L$21:N$24,MATCH(配置表!E252,データ!K$21:K$24,0),MATCH(配置表!G252,データ!L$20:N$20,0))</f>
        <v>1</v>
      </c>
      <c r="I252" s="52" t="str">
        <f>IF(ISERROR(VLOOKUP(M252,データ!$A$3:$C$20,3,FALSE)),"",VLOOKUP(M252,データ!$A$3:$C$20,3,FALSE))</f>
        <v/>
      </c>
      <c r="J252" s="52" t="str">
        <f t="shared" si="253"/>
        <v/>
      </c>
      <c r="K252" s="53">
        <f t="shared" si="264"/>
        <v>0</v>
      </c>
      <c r="L252" s="28" t="str">
        <f t="shared" si="254"/>
        <v/>
      </c>
      <c r="M252" s="9">
        <f t="shared" si="265"/>
        <v>45976</v>
      </c>
      <c r="N252" s="10" t="str">
        <f t="shared" si="255"/>
        <v>土</v>
      </c>
      <c r="O252" s="63" t="str">
        <f>IF(AND(M252&gt;=VLOOKUP(M252,データ!$E$3:$G$9,1,TRUE),M252&lt;=VLOOKUP(M252,データ!$E$3:$G$9,2,TRUE)),VLOOKUP(M252,データ!$E$3:$G$9,3,TRUE),"")</f>
        <v>秋　特別展</v>
      </c>
      <c r="P252" s="63" t="str">
        <f>IF(AND(M252&gt;=VLOOKUP(M252,データ!$E$14:$G$21,1,TRUE),M252&lt;=VLOOKUP(M252,データ!$E$14:$G$21,2,TRUE)),VLOOKUP(M252,データ!$E$14:$G$21,3,TRUE),"")</f>
        <v>テーマ展</v>
      </c>
      <c r="Q252" s="45" t="str">
        <f t="shared" si="256"/>
        <v>○</v>
      </c>
      <c r="R252" s="45"/>
      <c r="S252" s="10" t="str">
        <f t="shared" ref="S252:S253" si="275">IF(L252="閉","休",IF(O252="","",IF(O252="冬　特別展",IF(OR(N252="土",N252="日",I252=1),"○",""),"○")))</f>
        <v>○</v>
      </c>
      <c r="T252" s="45"/>
      <c r="U252" s="33" t="str">
        <f t="shared" si="267"/>
        <v>●</v>
      </c>
      <c r="V252" s="32"/>
      <c r="W252" s="33" t="str">
        <f t="shared" ref="W252:W253" si="276">IF(L252="閉","休",IF(O252="","",IF(OR(N252="土",N252="日",I252=1),IF(OR(O252="ダミー　特別展",O252="ダミー　特別展"),"◎",IF(OR(O252="夏　特別展",O252="秋　特別展",O252="春　特別展"),"◎","")),"")))</f>
        <v>◎</v>
      </c>
      <c r="X252" s="32"/>
      <c r="Y252" s="33" t="str">
        <f t="shared" si="260"/>
        <v>○</v>
      </c>
      <c r="Z252" s="32">
        <f>IF(L252="閉","",(IF(AND(M252&gt;=VLOOKUP(M252,データ!$E$3:$G$9,1,TRUE),M252&lt;=VLOOKUP(M252,データ!$E$3:$G$9,2,TRUE)),VLOOKUP(M252,データ!$E$3:$H$9,4,TRUE),0)+IF(AND(M252&gt;=VLOOKUP(M252,データ!$E$14:$G$21,1,TRUE),M252&lt;=VLOOKUP(M252,データ!$E$14:$G$21,2,TRUE)),VLOOKUP(M252,データ!$E$14:$H$21,4,TRUE),0)))</f>
        <v>5</v>
      </c>
      <c r="AA252" s="33" t="str">
        <f t="shared" si="261"/>
        <v>○</v>
      </c>
      <c r="AB252" s="227">
        <f t="shared" si="262"/>
        <v>0.41666666666666669</v>
      </c>
      <c r="AC252" s="227">
        <f t="shared" si="263"/>
        <v>0.70833333333333337</v>
      </c>
      <c r="AD252" s="228" t="str">
        <f>IF(K252=1,IF(ISERROR(VLOOKUP(M252,データ!$A$3:$C$23,2,FALSE)),"",VLOOKUP(M252,データ!$A$3:$C$23,2,FALSE)),(IF(ISERROR(VLOOKUP(M252,データ!$A$3:$C$23,2,FALSE)),"",VLOOKUP(M252,データ!$A$3:$C$23,2,FALSE))))</f>
        <v/>
      </c>
    </row>
    <row r="253" spans="1:30">
      <c r="A253" s="1">
        <f>IF(AND(M253&gt;=VLOOKUP(M253,データ!$K$3:$O$6,1,TRUE),M253&lt;=VLOOKUP(M253,データ!$K$3:$O$6,2,TRUE)),VLOOKUP(M253,データ!$K$3:$O$6,5,TRUE),"")</f>
        <v>1</v>
      </c>
      <c r="B253" s="74">
        <f>IF(AND(M253&gt;=VLOOKUP(M253,データ!$K$3:$O$6,1,TRUE),M253&lt;=VLOOKUP(M253,データ!$K$3:$O$6,2,TRUE)),VLOOKUP(M253,データ!$K$3:$O$6,3,TRUE),"")</f>
        <v>0.41666666666666669</v>
      </c>
      <c r="C253" s="1">
        <f>IF(AND(M253&gt;=VLOOKUP(M253,データ!$K$11:$O$16,1,TRUE),M253&lt;=VLOOKUP(M253,データ!$K$11:$O$16,2,TRUE)),VLOOKUP(M253,データ!$K$11:$O$16,5,TRUE),0)</f>
        <v>0</v>
      </c>
      <c r="D253" s="74" t="str">
        <f>IF(AND(M253&gt;=VLOOKUP(M253,データ!$K$11:$O$16,1,TRUE),M253&lt;=VLOOKUP(M253,データ!$K$11:$O$16,2,TRUE)),VLOOKUP(M253,データ!$K$11:$O$16,3,TRUE),"")</f>
        <v/>
      </c>
      <c r="E253" s="74">
        <f t="shared" si="252"/>
        <v>0.41666666666666669</v>
      </c>
      <c r="F253" s="75">
        <f>VLOOKUP(E253,データ!$K$20:$O$24,5,FALSE)</f>
        <v>0</v>
      </c>
      <c r="G253" s="74">
        <f>IF(AND(M253&gt;=VLOOKUP(M253,データ!$K$3:$O$6,1,TRUE),M253&lt;=VLOOKUP(M253,データ!$K$3:$O$6,2,TRUE)),VLOOKUP(M253,データ!$K$3:$O$6,4,TRUE),"")</f>
        <v>0.70833333333333337</v>
      </c>
      <c r="H253" s="256">
        <f>INDEX(データ!L$21:N$24,MATCH(配置表!E253,データ!K$21:K$24,0),MATCH(配置表!G253,データ!L$20:N$20,0))</f>
        <v>1</v>
      </c>
      <c r="I253" s="52" t="str">
        <f>IF(ISERROR(VLOOKUP(M253,データ!$A$3:$C$20,3,FALSE)),"",VLOOKUP(M253,データ!$A$3:$C$20,3,FALSE))</f>
        <v/>
      </c>
      <c r="J253" s="52" t="str">
        <f t="shared" si="253"/>
        <v/>
      </c>
      <c r="K253" s="53">
        <f t="shared" si="264"/>
        <v>0</v>
      </c>
      <c r="L253" s="28" t="str">
        <f t="shared" si="254"/>
        <v/>
      </c>
      <c r="M253" s="9">
        <f t="shared" si="265"/>
        <v>45977</v>
      </c>
      <c r="N253" s="10" t="str">
        <f t="shared" si="255"/>
        <v>日</v>
      </c>
      <c r="O253" s="63" t="str">
        <f>IF(AND(M253&gt;=VLOOKUP(M253,データ!$E$3:$G$9,1,TRUE),M253&lt;=VLOOKUP(M253,データ!$E$3:$G$9,2,TRUE)),VLOOKUP(M253,データ!$E$3:$G$9,3,TRUE),"")</f>
        <v>秋　特別展</v>
      </c>
      <c r="P253" s="63" t="str">
        <f>IF(AND(M253&gt;=VLOOKUP(M253,データ!$E$14:$G$21,1,TRUE),M253&lt;=VLOOKUP(M253,データ!$E$14:$G$21,2,TRUE)),VLOOKUP(M253,データ!$E$14:$G$21,3,TRUE),"")</f>
        <v>テーマ展</v>
      </c>
      <c r="Q253" s="45" t="str">
        <f t="shared" si="256"/>
        <v>○</v>
      </c>
      <c r="R253" s="45"/>
      <c r="S253" s="10" t="str">
        <f t="shared" si="275"/>
        <v>○</v>
      </c>
      <c r="T253" s="45"/>
      <c r="U253" s="33" t="str">
        <f t="shared" si="267"/>
        <v>●</v>
      </c>
      <c r="V253" s="32"/>
      <c r="W253" s="33" t="str">
        <f t="shared" si="276"/>
        <v>◎</v>
      </c>
      <c r="X253" s="32"/>
      <c r="Y253" s="33" t="str">
        <f t="shared" si="260"/>
        <v>○</v>
      </c>
      <c r="Z253" s="32">
        <f>IF(L253="閉","",(IF(AND(M253&gt;=VLOOKUP(M253,データ!$E$3:$G$9,1,TRUE),M253&lt;=VLOOKUP(M253,データ!$E$3:$G$9,2,TRUE)),VLOOKUP(M253,データ!$E$3:$H$9,4,TRUE),0)+IF(AND(M253&gt;=VLOOKUP(M253,データ!$E$14:$G$21,1,TRUE),M253&lt;=VLOOKUP(M253,データ!$E$14:$G$21,2,TRUE)),VLOOKUP(M253,データ!$E$14:$H$21,4,TRUE),0)))</f>
        <v>5</v>
      </c>
      <c r="AA253" s="33" t="str">
        <f t="shared" si="261"/>
        <v>○</v>
      </c>
      <c r="AB253" s="227">
        <f t="shared" si="262"/>
        <v>0.41666666666666669</v>
      </c>
      <c r="AC253" s="227">
        <f t="shared" si="263"/>
        <v>0.70833333333333337</v>
      </c>
      <c r="AD253" s="228" t="str">
        <f>IF(K253=1,IF(ISERROR(VLOOKUP(M253,データ!$A$3:$C$23,2,FALSE)),"",VLOOKUP(M253,データ!$A$3:$C$23,2,FALSE)),(IF(ISERROR(VLOOKUP(M253,データ!$A$3:$C$23,2,FALSE)),"",VLOOKUP(M253,データ!$A$3:$C$23,2,FALSE))))</f>
        <v/>
      </c>
    </row>
    <row r="254" spans="1:30">
      <c r="A254" s="1">
        <f>IF(AND(M254&gt;=VLOOKUP(M254,データ!$K$3:$O$6,1,TRUE),M254&lt;=VLOOKUP(M254,データ!$K$3:$O$6,2,TRUE)),VLOOKUP(M254,データ!$K$3:$O$6,5,TRUE),"")</f>
        <v>1</v>
      </c>
      <c r="B254" s="74">
        <f>IF(AND(M254&gt;=VLOOKUP(M254,データ!$K$3:$O$6,1,TRUE),M254&lt;=VLOOKUP(M254,データ!$K$3:$O$6,2,TRUE)),VLOOKUP(M254,データ!$K$3:$O$6,3,TRUE),"")</f>
        <v>0.41666666666666669</v>
      </c>
      <c r="C254" s="1">
        <f>IF(AND(M254&gt;=VLOOKUP(M254,データ!$K$11:$O$16,1,TRUE),M254&lt;=VLOOKUP(M254,データ!$K$11:$O$16,2,TRUE)),VLOOKUP(M254,データ!$K$11:$O$16,5,TRUE),0)</f>
        <v>0</v>
      </c>
      <c r="D254" s="74" t="str">
        <f>IF(AND(M254&gt;=VLOOKUP(M254,データ!$K$11:$O$16,1,TRUE),M254&lt;=VLOOKUP(M254,データ!$K$11:$O$16,2,TRUE)),VLOOKUP(M254,データ!$K$11:$O$16,3,TRUE),"")</f>
        <v/>
      </c>
      <c r="E254" s="74">
        <f t="shared" si="252"/>
        <v>0.41666666666666669</v>
      </c>
      <c r="F254" s="75">
        <f>VLOOKUP(E254,データ!$K$20:$O$24,5,FALSE)</f>
        <v>0</v>
      </c>
      <c r="G254" s="74">
        <f>IF(AND(M254&gt;=VLOOKUP(M254,データ!$K$3:$O$6,1,TRUE),M254&lt;=VLOOKUP(M254,データ!$K$3:$O$6,2,TRUE)),VLOOKUP(M254,データ!$K$3:$O$6,4,TRUE),"")</f>
        <v>0.70833333333333337</v>
      </c>
      <c r="H254" s="256">
        <f>INDEX(データ!L$21:N$24,MATCH(配置表!E254,データ!K$21:K$24,0),MATCH(配置表!G254,データ!L$20:N$20,0))</f>
        <v>1</v>
      </c>
      <c r="I254" s="52" t="str">
        <f>IF(ISERROR(VLOOKUP(M254,データ!$A$3:$C$20,3,FALSE)),"",VLOOKUP(M254,データ!$A$3:$C$20,3,FALSE))</f>
        <v/>
      </c>
      <c r="J254" s="52">
        <f t="shared" si="253"/>
        <v>1</v>
      </c>
      <c r="K254" s="53">
        <f t="shared" si="264"/>
        <v>1</v>
      </c>
      <c r="L254" s="28" t="str">
        <f t="shared" si="254"/>
        <v>閉</v>
      </c>
      <c r="M254" s="9">
        <f t="shared" si="265"/>
        <v>45978</v>
      </c>
      <c r="N254" s="10" t="str">
        <f t="shared" si="255"/>
        <v>月</v>
      </c>
      <c r="O254" s="63" t="str">
        <f>IF(AND(M254&gt;=VLOOKUP(M254,データ!$E$3:$G$9,1,TRUE),M254&lt;=VLOOKUP(M254,データ!$E$3:$G$9,2,TRUE)),VLOOKUP(M254,データ!$E$3:$G$9,3,TRUE),"")</f>
        <v>秋　特別展</v>
      </c>
      <c r="P254" s="63" t="str">
        <f>IF(AND(M254&gt;=VLOOKUP(M254,データ!$E$14:$G$21,1,TRUE),M254&lt;=VLOOKUP(M254,データ!$E$14:$G$21,2,TRUE)),VLOOKUP(M254,データ!$E$14:$G$21,3,TRUE),"")</f>
        <v>テーマ展</v>
      </c>
      <c r="Q254" s="44" t="str">
        <f t="shared" si="256"/>
        <v>休</v>
      </c>
      <c r="R254" s="32"/>
      <c r="S254" s="10" t="str">
        <f t="shared" ref="S254:S267" si="277">IF(L254="閉","休",IF(O254="","",IF(O254="冬　特別展",IF(OR(N254="土",N254="日",I254=1),"○",""),"○")))</f>
        <v>休</v>
      </c>
      <c r="T254" s="32"/>
      <c r="U254" s="33" t="str">
        <f t="shared" si="267"/>
        <v>休</v>
      </c>
      <c r="V254" s="32"/>
      <c r="W254" s="33" t="str">
        <f t="shared" si="268"/>
        <v>休</v>
      </c>
      <c r="X254" s="32"/>
      <c r="Y254" s="33" t="str">
        <f t="shared" si="260"/>
        <v>休</v>
      </c>
      <c r="Z254" s="32" t="str">
        <f>IF(L254="閉","",(IF(AND(M254&gt;=VLOOKUP(M254,データ!$E$3:$G$9,1,TRUE),M254&lt;=VLOOKUP(M254,データ!$E$3:$G$9,2,TRUE)),VLOOKUP(M254,データ!$E$3:$H$9,4,TRUE),0)+IF(AND(M254&gt;=VLOOKUP(M254,データ!$E$14:$G$21,1,TRUE),M254&lt;=VLOOKUP(M254,データ!$E$14:$G$21,2,TRUE)),VLOOKUP(M254,データ!$E$14:$H$21,4,TRUE),0)))</f>
        <v/>
      </c>
      <c r="AA254" s="33" t="str">
        <f t="shared" si="261"/>
        <v>休</v>
      </c>
      <c r="AB254" s="227" t="str">
        <f t="shared" si="262"/>
        <v/>
      </c>
      <c r="AC254" s="227" t="str">
        <f t="shared" si="263"/>
        <v/>
      </c>
      <c r="AD254" s="228" t="str">
        <f>IF(K254=1,IF(ISERROR(VLOOKUP(M254,データ!$A$3:$C$23,2,FALSE)),"",VLOOKUP(M254,データ!$A$3:$C$23,2,FALSE)),(IF(ISERROR(VLOOKUP(M254,データ!$A$3:$C$23,2,FALSE)),"",VLOOKUP(M254,データ!$A$3:$C$23,2,FALSE))))</f>
        <v/>
      </c>
    </row>
    <row r="255" spans="1:30">
      <c r="A255" s="1">
        <f>IF(AND(M255&gt;=VLOOKUP(M255,データ!$K$3:$O$6,1,TRUE),M255&lt;=VLOOKUP(M255,データ!$K$3:$O$6,2,TRUE)),VLOOKUP(M255,データ!$K$3:$O$6,5,TRUE),"")</f>
        <v>1</v>
      </c>
      <c r="B255" s="74">
        <f>IF(AND(M255&gt;=VLOOKUP(M255,データ!$K$3:$O$6,1,TRUE),M255&lt;=VLOOKUP(M255,データ!$K$3:$O$6,2,TRUE)),VLOOKUP(M255,データ!$K$3:$O$6,3,TRUE),"")</f>
        <v>0.41666666666666669</v>
      </c>
      <c r="C255" s="1">
        <f>IF(AND(M255&gt;=VLOOKUP(M255,データ!$K$11:$O$16,1,TRUE),M255&lt;=VLOOKUP(M255,データ!$K$11:$O$16,2,TRUE)),VLOOKUP(M255,データ!$K$11:$O$16,5,TRUE),0)</f>
        <v>0</v>
      </c>
      <c r="D255" s="74" t="str">
        <f>IF(AND(M255&gt;=VLOOKUP(M255,データ!$K$11:$O$16,1,TRUE),M255&lt;=VLOOKUP(M255,データ!$K$11:$O$16,2,TRUE)),VLOOKUP(M255,データ!$K$11:$O$16,3,TRUE),"")</f>
        <v/>
      </c>
      <c r="E255" s="74">
        <f t="shared" si="252"/>
        <v>0.41666666666666669</v>
      </c>
      <c r="F255" s="75">
        <f>VLOOKUP(E255,データ!$K$20:$O$24,5,FALSE)</f>
        <v>0</v>
      </c>
      <c r="G255" s="74">
        <f>IF(AND(M255&gt;=VLOOKUP(M255,データ!$K$3:$O$6,1,TRUE),M255&lt;=VLOOKUP(M255,データ!$K$3:$O$6,2,TRUE)),VLOOKUP(M255,データ!$K$3:$O$6,4,TRUE),"")</f>
        <v>0.70833333333333337</v>
      </c>
      <c r="H255" s="256">
        <f>INDEX(データ!L$21:N$24,MATCH(配置表!E255,データ!K$21:K$24,0),MATCH(配置表!G255,データ!L$20:N$20,0))</f>
        <v>1</v>
      </c>
      <c r="I255" s="52" t="str">
        <f>IF(ISERROR(VLOOKUP(M255,データ!$A$3:$C$20,3,FALSE)),"",VLOOKUP(M255,データ!$A$3:$C$20,3,FALSE))</f>
        <v/>
      </c>
      <c r="J255" s="52" t="str">
        <f t="shared" si="253"/>
        <v/>
      </c>
      <c r="K255" s="53">
        <f t="shared" si="264"/>
        <v>0</v>
      </c>
      <c r="L255" s="28" t="str">
        <f t="shared" si="254"/>
        <v/>
      </c>
      <c r="M255" s="9">
        <f t="shared" si="265"/>
        <v>45979</v>
      </c>
      <c r="N255" s="10" t="str">
        <f t="shared" si="255"/>
        <v>火</v>
      </c>
      <c r="O255" s="63" t="str">
        <f>IF(AND(M255&gt;=VLOOKUP(M255,データ!$E$3:$G$9,1,TRUE),M255&lt;=VLOOKUP(M255,データ!$E$3:$G$9,2,TRUE)),VLOOKUP(M255,データ!$E$3:$G$9,3,TRUE),"")</f>
        <v>秋　特別展</v>
      </c>
      <c r="P255" s="63" t="str">
        <f>IF(AND(M255&gt;=VLOOKUP(M255,データ!$E$14:$G$21,1,TRUE),M255&lt;=VLOOKUP(M255,データ!$E$14:$G$21,2,TRUE)),VLOOKUP(M255,データ!$E$14:$G$21,3,TRUE),"")</f>
        <v>テーマ展</v>
      </c>
      <c r="Q255" s="45" t="str">
        <f t="shared" si="256"/>
        <v>○</v>
      </c>
      <c r="R255" s="45"/>
      <c r="S255" s="33" t="str">
        <f t="shared" ref="S255:S258" si="278">IF(H255="閉","休",IF(K255="","",IF(OR(J255="土",J255="日",E255=1),IF(OR(K255="ダミー　特別展",K255="ダミー　特別展"),"◎",IF(OR(K255="夏　特別展",K255="秋　特別展",K255="春　特別展"),"○","")),"")))</f>
        <v/>
      </c>
      <c r="T255" s="45"/>
      <c r="U255" s="33" t="str">
        <f t="shared" ref="U255:U260" si="279">IF(L255="閉","休",IF(S255="","●","●"))</f>
        <v>●</v>
      </c>
      <c r="V255" s="32"/>
      <c r="W255" s="33" t="str">
        <f t="shared" ref="W255:W258" si="280">IF(P255="閉","休",IF(O255="","",IF(O255="冬　特別展",IF(OR(N255="土",N255="日",M255=1),"○",""),"○")))</f>
        <v>○</v>
      </c>
      <c r="X255" s="32"/>
      <c r="Y255" s="33" t="str">
        <f t="shared" si="260"/>
        <v>○</v>
      </c>
      <c r="Z255" s="32">
        <f>IF(L255="閉","",(IF(AND(M255&gt;=VLOOKUP(M255,データ!$E$3:$G$9,1,TRUE),M255&lt;=VLOOKUP(M255,データ!$E$3:$G$9,2,TRUE)),VLOOKUP(M255,データ!$E$3:$H$9,4,TRUE),0)+IF(AND(M255&gt;=VLOOKUP(M255,データ!$E$14:$G$21,1,TRUE),M255&lt;=VLOOKUP(M255,データ!$E$14:$G$21,2,TRUE)),VLOOKUP(M255,データ!$E$14:$H$21,4,TRUE),0)))</f>
        <v>5</v>
      </c>
      <c r="AA255" s="33" t="str">
        <f t="shared" si="261"/>
        <v>○</v>
      </c>
      <c r="AB255" s="227">
        <f t="shared" si="262"/>
        <v>0.41666666666666669</v>
      </c>
      <c r="AC255" s="227">
        <f t="shared" si="263"/>
        <v>0.70833333333333337</v>
      </c>
      <c r="AD255" s="228" t="str">
        <f>IF(K255=1,IF(ISERROR(VLOOKUP(M255,データ!$A$3:$C$23,2,FALSE)),"",VLOOKUP(M255,データ!$A$3:$C$23,2,FALSE)),(IF(ISERROR(VLOOKUP(M255,データ!$A$3:$C$23,2,FALSE)),"",VLOOKUP(M255,データ!$A$3:$C$23,2,FALSE))))</f>
        <v/>
      </c>
    </row>
    <row r="256" spans="1:30">
      <c r="A256" s="1">
        <f>IF(AND(M256&gt;=VLOOKUP(M256,データ!$K$3:$O$6,1,TRUE),M256&lt;=VLOOKUP(M256,データ!$K$3:$O$6,2,TRUE)),VLOOKUP(M256,データ!$K$3:$O$6,5,TRUE),"")</f>
        <v>1</v>
      </c>
      <c r="B256" s="74">
        <f>IF(AND(M256&gt;=VLOOKUP(M256,データ!$K$3:$O$6,1,TRUE),M256&lt;=VLOOKUP(M256,データ!$K$3:$O$6,2,TRUE)),VLOOKUP(M256,データ!$K$3:$O$6,3,TRUE),"")</f>
        <v>0.41666666666666669</v>
      </c>
      <c r="C256" s="1">
        <f>IF(AND(M256&gt;=VLOOKUP(M256,データ!$K$11:$O$16,1,TRUE),M256&lt;=VLOOKUP(M256,データ!$K$11:$O$16,2,TRUE)),VLOOKUP(M256,データ!$K$11:$O$16,5,TRUE),0)</f>
        <v>0</v>
      </c>
      <c r="D256" s="74" t="str">
        <f>IF(AND(M256&gt;=VLOOKUP(M256,データ!$K$11:$O$16,1,TRUE),M256&lt;=VLOOKUP(M256,データ!$K$11:$O$16,2,TRUE)),VLOOKUP(M256,データ!$K$11:$O$16,3,TRUE),"")</f>
        <v/>
      </c>
      <c r="E256" s="74">
        <f t="shared" si="252"/>
        <v>0.41666666666666669</v>
      </c>
      <c r="F256" s="75">
        <f>VLOOKUP(E256,データ!$K$20:$O$24,5,FALSE)</f>
        <v>0</v>
      </c>
      <c r="G256" s="74">
        <f>IF(AND(M256&gt;=VLOOKUP(M256,データ!$K$3:$O$6,1,TRUE),M256&lt;=VLOOKUP(M256,データ!$K$3:$O$6,2,TRUE)),VLOOKUP(M256,データ!$K$3:$O$6,4,TRUE),"")</f>
        <v>0.70833333333333337</v>
      </c>
      <c r="H256" s="256">
        <f>INDEX(データ!L$21:N$24,MATCH(配置表!E256,データ!K$21:K$24,0),MATCH(配置表!G256,データ!L$20:N$20,0))</f>
        <v>1</v>
      </c>
      <c r="I256" s="52" t="str">
        <f>IF(ISERROR(VLOOKUP(M256,データ!$A$3:$C$20,3,FALSE)),"",VLOOKUP(M256,データ!$A$3:$C$20,3,FALSE))</f>
        <v/>
      </c>
      <c r="J256" s="52" t="str">
        <f t="shared" si="253"/>
        <v/>
      </c>
      <c r="K256" s="53">
        <f t="shared" si="264"/>
        <v>0</v>
      </c>
      <c r="L256" s="28" t="str">
        <f t="shared" si="254"/>
        <v/>
      </c>
      <c r="M256" s="9">
        <f t="shared" si="265"/>
        <v>45980</v>
      </c>
      <c r="N256" s="10" t="str">
        <f t="shared" si="255"/>
        <v>水</v>
      </c>
      <c r="O256" s="63" t="str">
        <f>IF(AND(M256&gt;=VLOOKUP(M256,データ!$E$3:$G$9,1,TRUE),M256&lt;=VLOOKUP(M256,データ!$E$3:$G$9,2,TRUE)),VLOOKUP(M256,データ!$E$3:$G$9,3,TRUE),"")</f>
        <v>秋　特別展</v>
      </c>
      <c r="P256" s="63" t="str">
        <f>IF(AND(M256&gt;=VLOOKUP(M256,データ!$E$14:$G$21,1,TRUE),M256&lt;=VLOOKUP(M256,データ!$E$14:$G$21,2,TRUE)),VLOOKUP(M256,データ!$E$14:$G$21,3,TRUE),"")</f>
        <v>テーマ展</v>
      </c>
      <c r="Q256" s="45" t="str">
        <f t="shared" si="256"/>
        <v>○</v>
      </c>
      <c r="R256" s="45"/>
      <c r="S256" s="33" t="str">
        <f t="shared" si="278"/>
        <v/>
      </c>
      <c r="T256" s="45"/>
      <c r="U256" s="33" t="str">
        <f t="shared" si="279"/>
        <v>●</v>
      </c>
      <c r="V256" s="32"/>
      <c r="W256" s="33" t="str">
        <f t="shared" si="280"/>
        <v>○</v>
      </c>
      <c r="X256" s="32"/>
      <c r="Y256" s="33" t="str">
        <f t="shared" si="260"/>
        <v>○</v>
      </c>
      <c r="Z256" s="32">
        <f>IF(L256="閉","",(IF(AND(M256&gt;=VLOOKUP(M256,データ!$E$3:$G$9,1,TRUE),M256&lt;=VLOOKUP(M256,データ!$E$3:$G$9,2,TRUE)),VLOOKUP(M256,データ!$E$3:$H$9,4,TRUE),0)+IF(AND(M256&gt;=VLOOKUP(M256,データ!$E$14:$G$21,1,TRUE),M256&lt;=VLOOKUP(M256,データ!$E$14:$G$21,2,TRUE)),VLOOKUP(M256,データ!$E$14:$H$21,4,TRUE),0)))</f>
        <v>5</v>
      </c>
      <c r="AA256" s="33" t="str">
        <f t="shared" si="261"/>
        <v>○</v>
      </c>
      <c r="AB256" s="227">
        <f t="shared" si="262"/>
        <v>0.41666666666666669</v>
      </c>
      <c r="AC256" s="227">
        <f t="shared" si="263"/>
        <v>0.70833333333333337</v>
      </c>
      <c r="AD256" s="228" t="str">
        <f>IF(K256=1,IF(ISERROR(VLOOKUP(M256,データ!$A$3:$C$23,2,FALSE)),"",VLOOKUP(M256,データ!$A$3:$C$23,2,FALSE)),(IF(ISERROR(VLOOKUP(M256,データ!$A$3:$C$23,2,FALSE)),"",VLOOKUP(M256,データ!$A$3:$C$23,2,FALSE))))</f>
        <v/>
      </c>
    </row>
    <row r="257" spans="1:30">
      <c r="A257" s="1">
        <f>IF(AND(M257&gt;=VLOOKUP(M257,データ!$K$3:$O$6,1,TRUE),M257&lt;=VLOOKUP(M257,データ!$K$3:$O$6,2,TRUE)),VLOOKUP(M257,データ!$K$3:$O$6,5,TRUE),"")</f>
        <v>1</v>
      </c>
      <c r="B257" s="74">
        <f>IF(AND(M257&gt;=VLOOKUP(M257,データ!$K$3:$O$6,1,TRUE),M257&lt;=VLOOKUP(M257,データ!$K$3:$O$6,2,TRUE)),VLOOKUP(M257,データ!$K$3:$O$6,3,TRUE),"")</f>
        <v>0.41666666666666669</v>
      </c>
      <c r="C257" s="1">
        <f>IF(AND(M257&gt;=VLOOKUP(M257,データ!$K$11:$O$16,1,TRUE),M257&lt;=VLOOKUP(M257,データ!$K$11:$O$16,2,TRUE)),VLOOKUP(M257,データ!$K$11:$O$16,5,TRUE),0)</f>
        <v>0</v>
      </c>
      <c r="D257" s="74" t="str">
        <f>IF(AND(M257&gt;=VLOOKUP(M257,データ!$K$11:$O$16,1,TRUE),M257&lt;=VLOOKUP(M257,データ!$K$11:$O$16,2,TRUE)),VLOOKUP(M257,データ!$K$11:$O$16,3,TRUE),"")</f>
        <v/>
      </c>
      <c r="E257" s="74">
        <f t="shared" si="252"/>
        <v>0.41666666666666669</v>
      </c>
      <c r="F257" s="75">
        <f>VLOOKUP(E257,データ!$K$20:$O$24,5,FALSE)</f>
        <v>0</v>
      </c>
      <c r="G257" s="74">
        <f>IF(AND(M257&gt;=VLOOKUP(M257,データ!$K$3:$O$6,1,TRUE),M257&lt;=VLOOKUP(M257,データ!$K$3:$O$6,2,TRUE)),VLOOKUP(M257,データ!$K$3:$O$6,4,TRUE),"")</f>
        <v>0.70833333333333337</v>
      </c>
      <c r="H257" s="256">
        <f>INDEX(データ!L$21:N$24,MATCH(配置表!E257,データ!K$21:K$24,0),MATCH(配置表!G257,データ!L$20:N$20,0))</f>
        <v>1</v>
      </c>
      <c r="I257" s="52" t="str">
        <f>IF(ISERROR(VLOOKUP(M257,データ!$A$3:$C$20,3,FALSE)),"",VLOOKUP(M257,データ!$A$3:$C$20,3,FALSE))</f>
        <v/>
      </c>
      <c r="J257" s="52" t="str">
        <f t="shared" si="253"/>
        <v/>
      </c>
      <c r="K257" s="53">
        <f t="shared" si="264"/>
        <v>0</v>
      </c>
      <c r="L257" s="28" t="str">
        <f t="shared" si="254"/>
        <v/>
      </c>
      <c r="M257" s="9">
        <f t="shared" si="265"/>
        <v>45981</v>
      </c>
      <c r="N257" s="10" t="str">
        <f t="shared" si="255"/>
        <v>木</v>
      </c>
      <c r="O257" s="63" t="str">
        <f>IF(AND(M257&gt;=VLOOKUP(M257,データ!$E$3:$G$9,1,TRUE),M257&lt;=VLOOKUP(M257,データ!$E$3:$G$9,2,TRUE)),VLOOKUP(M257,データ!$E$3:$G$9,3,TRUE),"")</f>
        <v>秋　特別展</v>
      </c>
      <c r="P257" s="63" t="str">
        <f>IF(AND(M257&gt;=VLOOKUP(M257,データ!$E$14:$G$21,1,TRUE),M257&lt;=VLOOKUP(M257,データ!$E$14:$G$21,2,TRUE)),VLOOKUP(M257,データ!$E$14:$G$21,3,TRUE),"")</f>
        <v>テーマ展</v>
      </c>
      <c r="Q257" s="45" t="str">
        <f t="shared" si="256"/>
        <v>○</v>
      </c>
      <c r="R257" s="45"/>
      <c r="S257" s="33" t="str">
        <f t="shared" si="278"/>
        <v/>
      </c>
      <c r="T257" s="45"/>
      <c r="U257" s="33" t="str">
        <f t="shared" si="279"/>
        <v>●</v>
      </c>
      <c r="V257" s="32"/>
      <c r="W257" s="33" t="str">
        <f t="shared" si="280"/>
        <v>○</v>
      </c>
      <c r="X257" s="32"/>
      <c r="Y257" s="33" t="str">
        <f t="shared" si="260"/>
        <v>○</v>
      </c>
      <c r="Z257" s="32">
        <f>IF(L257="閉","",(IF(AND(M257&gt;=VLOOKUP(M257,データ!$E$3:$G$9,1,TRUE),M257&lt;=VLOOKUP(M257,データ!$E$3:$G$9,2,TRUE)),VLOOKUP(M257,データ!$E$3:$H$9,4,TRUE),0)+IF(AND(M257&gt;=VLOOKUP(M257,データ!$E$14:$G$21,1,TRUE),M257&lt;=VLOOKUP(M257,データ!$E$14:$G$21,2,TRUE)),VLOOKUP(M257,データ!$E$14:$H$21,4,TRUE),0)))</f>
        <v>5</v>
      </c>
      <c r="AA257" s="33" t="str">
        <f t="shared" si="261"/>
        <v>○</v>
      </c>
      <c r="AB257" s="227">
        <f t="shared" si="262"/>
        <v>0.41666666666666669</v>
      </c>
      <c r="AC257" s="227">
        <f t="shared" si="263"/>
        <v>0.70833333333333337</v>
      </c>
      <c r="AD257" s="228" t="str">
        <f>IF(K257=1,IF(ISERROR(VLOOKUP(M257,データ!$A$3:$C$23,2,FALSE)),"",VLOOKUP(M257,データ!$A$3:$C$23,2,FALSE)),(IF(ISERROR(VLOOKUP(M257,データ!$A$3:$C$23,2,FALSE)),"",VLOOKUP(M257,データ!$A$3:$C$23,2,FALSE))))</f>
        <v/>
      </c>
    </row>
    <row r="258" spans="1:30">
      <c r="A258" s="1">
        <f>IF(AND(M258&gt;=VLOOKUP(M258,データ!$K$3:$O$6,1,TRUE),M258&lt;=VLOOKUP(M258,データ!$K$3:$O$6,2,TRUE)),VLOOKUP(M258,データ!$K$3:$O$6,5,TRUE),"")</f>
        <v>1</v>
      </c>
      <c r="B258" s="74">
        <f>IF(AND(M258&gt;=VLOOKUP(M258,データ!$K$3:$O$6,1,TRUE),M258&lt;=VLOOKUP(M258,データ!$K$3:$O$6,2,TRUE)),VLOOKUP(M258,データ!$K$3:$O$6,3,TRUE),"")</f>
        <v>0.41666666666666669</v>
      </c>
      <c r="C258" s="1">
        <f>IF(AND(M258&gt;=VLOOKUP(M258,データ!$K$11:$O$16,1,TRUE),M258&lt;=VLOOKUP(M258,データ!$K$11:$O$16,2,TRUE)),VLOOKUP(M258,データ!$K$11:$O$16,5,TRUE),0)</f>
        <v>0</v>
      </c>
      <c r="D258" s="74" t="str">
        <f>IF(AND(M258&gt;=VLOOKUP(M258,データ!$K$11:$O$16,1,TRUE),M258&lt;=VLOOKUP(M258,データ!$K$11:$O$16,2,TRUE)),VLOOKUP(M258,データ!$K$11:$O$16,3,TRUE),"")</f>
        <v/>
      </c>
      <c r="E258" s="74">
        <f t="shared" si="252"/>
        <v>0.41666666666666669</v>
      </c>
      <c r="F258" s="75">
        <f>VLOOKUP(E258,データ!$K$20:$O$24,5,FALSE)</f>
        <v>0</v>
      </c>
      <c r="G258" s="74">
        <f>IF(AND(M258&gt;=VLOOKUP(M258,データ!$K$3:$O$6,1,TRUE),M258&lt;=VLOOKUP(M258,データ!$K$3:$O$6,2,TRUE)),VLOOKUP(M258,データ!$K$3:$O$6,4,TRUE),"")</f>
        <v>0.70833333333333337</v>
      </c>
      <c r="H258" s="256">
        <f>INDEX(データ!L$21:N$24,MATCH(配置表!E258,データ!K$21:K$24,0),MATCH(配置表!G258,データ!L$20:N$20,0))</f>
        <v>1</v>
      </c>
      <c r="I258" s="52" t="str">
        <f>IF(ISERROR(VLOOKUP(M258,データ!$A$3:$C$20,3,FALSE)),"",VLOOKUP(M258,データ!$A$3:$C$20,3,FALSE))</f>
        <v/>
      </c>
      <c r="J258" s="52" t="str">
        <f t="shared" si="253"/>
        <v/>
      </c>
      <c r="K258" s="53">
        <f t="shared" si="264"/>
        <v>0</v>
      </c>
      <c r="L258" s="28" t="str">
        <f t="shared" si="254"/>
        <v/>
      </c>
      <c r="M258" s="9">
        <f t="shared" si="265"/>
        <v>45982</v>
      </c>
      <c r="N258" s="10" t="str">
        <f t="shared" si="255"/>
        <v>金</v>
      </c>
      <c r="O258" s="63" t="str">
        <f>IF(AND(M258&gt;=VLOOKUP(M258,データ!$E$3:$G$9,1,TRUE),M258&lt;=VLOOKUP(M258,データ!$E$3:$G$9,2,TRUE)),VLOOKUP(M258,データ!$E$3:$G$9,3,TRUE),"")</f>
        <v>秋　特別展</v>
      </c>
      <c r="P258" s="63" t="str">
        <f>IF(AND(M258&gt;=VLOOKUP(M258,データ!$E$14:$G$21,1,TRUE),M258&lt;=VLOOKUP(M258,データ!$E$14:$G$21,2,TRUE)),VLOOKUP(M258,データ!$E$14:$G$21,3,TRUE),"")</f>
        <v>テーマ展</v>
      </c>
      <c r="Q258" s="45" t="str">
        <f t="shared" si="256"/>
        <v>○</v>
      </c>
      <c r="R258" s="45"/>
      <c r="S258" s="33" t="str">
        <f t="shared" si="278"/>
        <v/>
      </c>
      <c r="T258" s="45"/>
      <c r="U258" s="33" t="str">
        <f t="shared" si="279"/>
        <v>●</v>
      </c>
      <c r="V258" s="32"/>
      <c r="W258" s="33" t="str">
        <f t="shared" si="280"/>
        <v>○</v>
      </c>
      <c r="X258" s="32"/>
      <c r="Y258" s="33" t="str">
        <f t="shared" si="260"/>
        <v>○</v>
      </c>
      <c r="Z258" s="32">
        <f>IF(L258="閉","",(IF(AND(M258&gt;=VLOOKUP(M258,データ!$E$3:$G$9,1,TRUE),M258&lt;=VLOOKUP(M258,データ!$E$3:$G$9,2,TRUE)),VLOOKUP(M258,データ!$E$3:$H$9,4,TRUE),0)+IF(AND(M258&gt;=VLOOKUP(M258,データ!$E$14:$G$21,1,TRUE),M258&lt;=VLOOKUP(M258,データ!$E$14:$G$21,2,TRUE)),VLOOKUP(M258,データ!$E$14:$H$21,4,TRUE),0)))</f>
        <v>5</v>
      </c>
      <c r="AA258" s="33" t="str">
        <f t="shared" si="261"/>
        <v>○</v>
      </c>
      <c r="AB258" s="227">
        <f t="shared" si="262"/>
        <v>0.41666666666666669</v>
      </c>
      <c r="AC258" s="227">
        <f t="shared" si="263"/>
        <v>0.70833333333333337</v>
      </c>
      <c r="AD258" s="228" t="str">
        <f>IF(K258=1,IF(ISERROR(VLOOKUP(M258,データ!$A$3:$C$23,2,FALSE)),"",VLOOKUP(M258,データ!$A$3:$C$23,2,FALSE)),(IF(ISERROR(VLOOKUP(M258,データ!$A$3:$C$23,2,FALSE)),"",VLOOKUP(M258,データ!$A$3:$C$23,2,FALSE))))</f>
        <v/>
      </c>
    </row>
    <row r="259" spans="1:30">
      <c r="A259" s="1">
        <f>IF(AND(M259&gt;=VLOOKUP(M259,データ!$K$3:$O$6,1,TRUE),M259&lt;=VLOOKUP(M259,データ!$K$3:$O$6,2,TRUE)),VLOOKUP(M259,データ!$K$3:$O$6,5,TRUE),"")</f>
        <v>1</v>
      </c>
      <c r="B259" s="74">
        <f>IF(AND(M259&gt;=VLOOKUP(M259,データ!$K$3:$O$6,1,TRUE),M259&lt;=VLOOKUP(M259,データ!$K$3:$O$6,2,TRUE)),VLOOKUP(M259,データ!$K$3:$O$6,3,TRUE),"")</f>
        <v>0.41666666666666669</v>
      </c>
      <c r="C259" s="1">
        <f>IF(AND(M259&gt;=VLOOKUP(M259,データ!$K$11:$O$16,1,TRUE),M259&lt;=VLOOKUP(M259,データ!$K$11:$O$16,2,TRUE)),VLOOKUP(M259,データ!$K$11:$O$16,5,TRUE),0)</f>
        <v>0</v>
      </c>
      <c r="D259" s="74" t="str">
        <f>IF(AND(M259&gt;=VLOOKUP(M259,データ!$K$11:$O$16,1,TRUE),M259&lt;=VLOOKUP(M259,データ!$K$11:$O$16,2,TRUE)),VLOOKUP(M259,データ!$K$11:$O$16,3,TRUE),"")</f>
        <v/>
      </c>
      <c r="E259" s="74">
        <f t="shared" si="252"/>
        <v>0.41666666666666669</v>
      </c>
      <c r="F259" s="75">
        <f>VLOOKUP(E259,データ!$K$20:$O$24,5,FALSE)</f>
        <v>0</v>
      </c>
      <c r="G259" s="74">
        <f>IF(AND(M259&gt;=VLOOKUP(M259,データ!$K$3:$O$6,1,TRUE),M259&lt;=VLOOKUP(M259,データ!$K$3:$O$6,2,TRUE)),VLOOKUP(M259,データ!$K$3:$O$6,4,TRUE),"")</f>
        <v>0.70833333333333337</v>
      </c>
      <c r="H259" s="256">
        <f>INDEX(データ!L$21:N$24,MATCH(配置表!E259,データ!K$21:K$24,0),MATCH(配置表!G259,データ!L$20:N$20,0))</f>
        <v>1</v>
      </c>
      <c r="I259" s="52" t="str">
        <f>IF(ISERROR(VLOOKUP(M259,データ!$A$3:$C$20,3,FALSE)),"",VLOOKUP(M259,データ!$A$3:$C$20,3,FALSE))</f>
        <v/>
      </c>
      <c r="J259" s="52" t="str">
        <f t="shared" si="253"/>
        <v/>
      </c>
      <c r="K259" s="53">
        <f t="shared" si="264"/>
        <v>0</v>
      </c>
      <c r="L259" s="28" t="str">
        <f t="shared" si="254"/>
        <v/>
      </c>
      <c r="M259" s="9">
        <f t="shared" si="265"/>
        <v>45983</v>
      </c>
      <c r="N259" s="10" t="str">
        <f t="shared" si="255"/>
        <v>土</v>
      </c>
      <c r="O259" s="63" t="str">
        <f>IF(AND(M259&gt;=VLOOKUP(M259,データ!$E$3:$G$9,1,TRUE),M259&lt;=VLOOKUP(M259,データ!$E$3:$G$9,2,TRUE)),VLOOKUP(M259,データ!$E$3:$G$9,3,TRUE),"")</f>
        <v>秋　特別展</v>
      </c>
      <c r="P259" s="63" t="str">
        <f>IF(AND(M259&gt;=VLOOKUP(M259,データ!$E$14:$G$21,1,TRUE),M259&lt;=VLOOKUP(M259,データ!$E$14:$G$21,2,TRUE)),VLOOKUP(M259,データ!$E$14:$G$21,3,TRUE),"")</f>
        <v>テーマ展</v>
      </c>
      <c r="Q259" s="45" t="str">
        <f t="shared" si="256"/>
        <v>○</v>
      </c>
      <c r="R259" s="45"/>
      <c r="S259" s="10" t="str">
        <f t="shared" ref="S259:S260" si="281">IF(L259="閉","休",IF(O259="","",IF(O259="冬　特別展",IF(OR(N259="土",N259="日",I259=1),"○",""),"○")))</f>
        <v>○</v>
      </c>
      <c r="T259" s="45"/>
      <c r="U259" s="33" t="str">
        <f t="shared" si="279"/>
        <v>●</v>
      </c>
      <c r="V259" s="32"/>
      <c r="W259" s="33" t="str">
        <f t="shared" ref="W259:W260" si="282">IF(L259="閉","休",IF(O259="","",IF(OR(N259="土",N259="日",I259=1),IF(OR(O259="ダミー　特別展",O259="ダミー　特別展"),"◎",IF(OR(O259="夏　特別展",O259="秋　特別展",O259="春　特別展"),"◎","")),"")))</f>
        <v>◎</v>
      </c>
      <c r="X259" s="32"/>
      <c r="Y259" s="33" t="str">
        <f t="shared" si="260"/>
        <v>○</v>
      </c>
      <c r="Z259" s="32">
        <f>IF(L259="閉","",(IF(AND(M259&gt;=VLOOKUP(M259,データ!$E$3:$G$9,1,TRUE),M259&lt;=VLOOKUP(M259,データ!$E$3:$G$9,2,TRUE)),VLOOKUP(M259,データ!$E$3:$H$9,4,TRUE),0)+IF(AND(M259&gt;=VLOOKUP(M259,データ!$E$14:$G$21,1,TRUE),M259&lt;=VLOOKUP(M259,データ!$E$14:$G$21,2,TRUE)),VLOOKUP(M259,データ!$E$14:$H$21,4,TRUE),0)))</f>
        <v>5</v>
      </c>
      <c r="AA259" s="33" t="str">
        <f t="shared" si="261"/>
        <v>○</v>
      </c>
      <c r="AB259" s="227">
        <f t="shared" si="262"/>
        <v>0.41666666666666669</v>
      </c>
      <c r="AC259" s="227">
        <f t="shared" si="263"/>
        <v>0.70833333333333337</v>
      </c>
      <c r="AD259" s="228" t="str">
        <f>IF(K259=1,IF(ISERROR(VLOOKUP(M259,データ!$A$3:$C$23,2,FALSE)),"",VLOOKUP(M259,データ!$A$3:$C$23,2,FALSE)),(IF(ISERROR(VLOOKUP(M259,データ!$A$3:$C$23,2,FALSE)),"",VLOOKUP(M259,データ!$A$3:$C$23,2,FALSE))))</f>
        <v/>
      </c>
    </row>
    <row r="260" spans="1:30">
      <c r="A260" s="1">
        <f>IF(AND(M260&gt;=VLOOKUP(M260,データ!$K$3:$O$6,1,TRUE),M260&lt;=VLOOKUP(M260,データ!$K$3:$O$6,2,TRUE)),VLOOKUP(M260,データ!$K$3:$O$6,5,TRUE),"")</f>
        <v>1</v>
      </c>
      <c r="B260" s="74">
        <f>IF(AND(M260&gt;=VLOOKUP(M260,データ!$K$3:$O$6,1,TRUE),M260&lt;=VLOOKUP(M260,データ!$K$3:$O$6,2,TRUE)),VLOOKUP(M260,データ!$K$3:$O$6,3,TRUE),"")</f>
        <v>0.41666666666666669</v>
      </c>
      <c r="C260" s="1">
        <f>IF(AND(M260&gt;=VLOOKUP(M260,データ!$K$11:$O$16,1,TRUE),M260&lt;=VLOOKUP(M260,データ!$K$11:$O$16,2,TRUE)),VLOOKUP(M260,データ!$K$11:$O$16,5,TRUE),0)</f>
        <v>0</v>
      </c>
      <c r="D260" s="74" t="str">
        <f>IF(AND(M260&gt;=VLOOKUP(M260,データ!$K$11:$O$16,1,TRUE),M260&lt;=VLOOKUP(M260,データ!$K$11:$O$16,2,TRUE)),VLOOKUP(M260,データ!$K$11:$O$16,3,TRUE),"")</f>
        <v/>
      </c>
      <c r="E260" s="74">
        <f t="shared" si="252"/>
        <v>0.41666666666666669</v>
      </c>
      <c r="F260" s="75">
        <f>VLOOKUP(E260,データ!$K$20:$O$24,5,FALSE)</f>
        <v>0</v>
      </c>
      <c r="G260" s="74">
        <f>IF(AND(M260&gt;=VLOOKUP(M260,データ!$K$3:$O$6,1,TRUE),M260&lt;=VLOOKUP(M260,データ!$K$3:$O$6,2,TRUE)),VLOOKUP(M260,データ!$K$3:$O$6,4,TRUE),"")</f>
        <v>0.70833333333333337</v>
      </c>
      <c r="H260" s="256">
        <f>INDEX(データ!L$21:N$24,MATCH(配置表!E260,データ!K$21:K$24,0),MATCH(配置表!G260,データ!L$20:N$20,0))</f>
        <v>1</v>
      </c>
      <c r="I260" s="52">
        <f>IF(ISERROR(VLOOKUP(M260,データ!$A$3:$C$20,3,FALSE)),"",VLOOKUP(M260,データ!$A$3:$C$20,3,FALSE))</f>
        <v>1</v>
      </c>
      <c r="J260" s="52" t="str">
        <f t="shared" si="253"/>
        <v/>
      </c>
      <c r="K260" s="53">
        <f t="shared" si="264"/>
        <v>0</v>
      </c>
      <c r="L260" s="28" t="str">
        <f t="shared" si="254"/>
        <v/>
      </c>
      <c r="M260" s="9">
        <f t="shared" si="265"/>
        <v>45984</v>
      </c>
      <c r="N260" s="10" t="str">
        <f t="shared" si="255"/>
        <v>日</v>
      </c>
      <c r="O260" s="63" t="str">
        <f>IF(AND(M260&gt;=VLOOKUP(M260,データ!$E$3:$G$9,1,TRUE),M260&lt;=VLOOKUP(M260,データ!$E$3:$G$9,2,TRUE)),VLOOKUP(M260,データ!$E$3:$G$9,3,TRUE),"")</f>
        <v>秋　特別展</v>
      </c>
      <c r="P260" s="63" t="str">
        <f>IF(AND(M260&gt;=VLOOKUP(M260,データ!$E$14:$G$21,1,TRUE),M260&lt;=VLOOKUP(M260,データ!$E$14:$G$21,2,TRUE)),VLOOKUP(M260,データ!$E$14:$G$21,3,TRUE),"")</f>
        <v>テーマ展</v>
      </c>
      <c r="Q260" s="45" t="str">
        <f t="shared" si="256"/>
        <v>○</v>
      </c>
      <c r="R260" s="45"/>
      <c r="S260" s="10" t="str">
        <f t="shared" si="281"/>
        <v>○</v>
      </c>
      <c r="T260" s="45"/>
      <c r="U260" s="33" t="str">
        <f t="shared" si="279"/>
        <v>●</v>
      </c>
      <c r="V260" s="32"/>
      <c r="W260" s="33" t="str">
        <f t="shared" si="282"/>
        <v>◎</v>
      </c>
      <c r="X260" s="32"/>
      <c r="Y260" s="33" t="str">
        <f t="shared" si="260"/>
        <v>○</v>
      </c>
      <c r="Z260" s="32">
        <f>IF(L260="閉","",(IF(AND(M260&gt;=VLOOKUP(M260,データ!$E$3:$G$9,1,TRUE),M260&lt;=VLOOKUP(M260,データ!$E$3:$G$9,2,TRUE)),VLOOKUP(M260,データ!$E$3:$H$9,4,TRUE),0)+IF(AND(M260&gt;=VLOOKUP(M260,データ!$E$14:$G$21,1,TRUE),M260&lt;=VLOOKUP(M260,データ!$E$14:$G$21,2,TRUE)),VLOOKUP(M260,データ!$E$14:$H$21,4,TRUE),0)))</f>
        <v>5</v>
      </c>
      <c r="AA260" s="33" t="str">
        <f t="shared" si="261"/>
        <v>○</v>
      </c>
      <c r="AB260" s="227">
        <f t="shared" si="262"/>
        <v>0.41666666666666669</v>
      </c>
      <c r="AC260" s="227">
        <f t="shared" si="263"/>
        <v>0.70833333333333337</v>
      </c>
      <c r="AD260" s="228" t="str">
        <f>IF(K260=1,IF(ISERROR(VLOOKUP(M260,データ!$A$3:$C$23,2,FALSE)),"",VLOOKUP(M260,データ!$A$3:$C$23,2,FALSE)),(IF(ISERROR(VLOOKUP(M260,データ!$A$3:$C$23,2,FALSE)),"",VLOOKUP(M260,データ!$A$3:$C$23,2,FALSE))))</f>
        <v>勤労感謝の日</v>
      </c>
    </row>
    <row r="261" spans="1:30">
      <c r="A261" s="1">
        <f>IF(AND(M261&gt;=VLOOKUP(M261,データ!$K$3:$O$6,1,TRUE),M261&lt;=VLOOKUP(M261,データ!$K$3:$O$6,2,TRUE)),VLOOKUP(M261,データ!$K$3:$O$6,5,TRUE),"")</f>
        <v>1</v>
      </c>
      <c r="B261" s="74">
        <f>IF(AND(M261&gt;=VLOOKUP(M261,データ!$K$3:$O$6,1,TRUE),M261&lt;=VLOOKUP(M261,データ!$K$3:$O$6,2,TRUE)),VLOOKUP(M261,データ!$K$3:$O$6,3,TRUE),"")</f>
        <v>0.41666666666666669</v>
      </c>
      <c r="C261" s="1">
        <f>IF(AND(M261&gt;=VLOOKUP(M261,データ!$K$11:$O$16,1,TRUE),M261&lt;=VLOOKUP(M261,データ!$K$11:$O$16,2,TRUE)),VLOOKUP(M261,データ!$K$11:$O$16,5,TRUE),0)</f>
        <v>0</v>
      </c>
      <c r="D261" s="74" t="str">
        <f>IF(AND(M261&gt;=VLOOKUP(M261,データ!$K$11:$O$16,1,TRUE),M261&lt;=VLOOKUP(M261,データ!$K$11:$O$16,2,TRUE)),VLOOKUP(M261,データ!$K$11:$O$16,3,TRUE),"")</f>
        <v/>
      </c>
      <c r="E261" s="74">
        <f t="shared" si="252"/>
        <v>0.41666666666666669</v>
      </c>
      <c r="F261" s="75">
        <f>VLOOKUP(E261,データ!$K$20:$O$24,5,FALSE)</f>
        <v>0</v>
      </c>
      <c r="G261" s="74">
        <f>IF(AND(M261&gt;=VLOOKUP(M261,データ!$K$3:$O$6,1,TRUE),M261&lt;=VLOOKUP(M261,データ!$K$3:$O$6,2,TRUE)),VLOOKUP(M261,データ!$K$3:$O$6,4,TRUE),"")</f>
        <v>0.70833333333333337</v>
      </c>
      <c r="H261" s="256">
        <f>INDEX(データ!L$21:N$24,MATCH(配置表!E261,データ!K$21:K$24,0),MATCH(配置表!G261,データ!L$20:N$20,0))</f>
        <v>1</v>
      </c>
      <c r="I261" s="52">
        <f>IF(ISERROR(VLOOKUP(M261,データ!$A$3:$C$20,3,FALSE)),"",VLOOKUP(M261,データ!$A$3:$C$20,3,FALSE))</f>
        <v>1</v>
      </c>
      <c r="J261" s="52">
        <f t="shared" si="253"/>
        <v>1</v>
      </c>
      <c r="K261" s="53">
        <f t="shared" si="264"/>
        <v>2</v>
      </c>
      <c r="L261" s="28" t="str">
        <f t="shared" si="254"/>
        <v/>
      </c>
      <c r="M261" s="9">
        <f t="shared" si="265"/>
        <v>45985</v>
      </c>
      <c r="N261" s="10" t="str">
        <f t="shared" si="255"/>
        <v>月</v>
      </c>
      <c r="O261" s="63" t="str">
        <f>IF(AND(M261&gt;=VLOOKUP(M261,データ!$E$3:$G$9,1,TRUE),M261&lt;=VLOOKUP(M261,データ!$E$3:$G$9,2,TRUE)),VLOOKUP(M261,データ!$E$3:$G$9,3,TRUE),"")</f>
        <v>秋　特別展</v>
      </c>
      <c r="P261" s="63" t="str">
        <f>IF(AND(M261&gt;=VLOOKUP(M261,データ!$E$14:$G$21,1,TRUE),M261&lt;=VLOOKUP(M261,データ!$E$14:$G$21,2,TRUE)),VLOOKUP(M261,データ!$E$14:$G$21,3,TRUE),"")</f>
        <v>テーマ展</v>
      </c>
      <c r="Q261" s="45" t="str">
        <f t="shared" si="256"/>
        <v>○</v>
      </c>
      <c r="R261" s="45"/>
      <c r="S261" s="10" t="str">
        <f t="shared" ref="S261" si="283">IF(L261="閉","休",IF(O261="","",IF(O261="冬　特別展",IF(OR(N261="土",N261="日",I261=1),"○",""),"○")))</f>
        <v>○</v>
      </c>
      <c r="T261" s="45"/>
      <c r="U261" s="33" t="str">
        <f t="shared" ref="U261" si="284">IF(L261="閉","休",IF(S261="","●","●"))</f>
        <v>●</v>
      </c>
      <c r="V261" s="32"/>
      <c r="W261" s="33" t="str">
        <f t="shared" ref="W261" si="285">IF(L261="閉","休",IF(O261="","",IF(OR(N261="土",N261="日",I261=1),IF(OR(O261="ダミー　特別展",O261="ダミー　特別展"),"◎",IF(OR(O261="夏　特別展",O261="秋　特別展",O261="春　特別展"),"◎","")),"")))</f>
        <v>◎</v>
      </c>
      <c r="X261" s="32"/>
      <c r="Y261" s="33" t="str">
        <f t="shared" si="260"/>
        <v>○</v>
      </c>
      <c r="Z261" s="32">
        <f>IF(L261="閉","",(IF(AND(M261&gt;=VLOOKUP(M261,データ!$E$3:$G$9,1,TRUE),M261&lt;=VLOOKUP(M261,データ!$E$3:$G$9,2,TRUE)),VLOOKUP(M261,データ!$E$3:$H$9,4,TRUE),0)+IF(AND(M261&gt;=VLOOKUP(M261,データ!$E$14:$G$21,1,TRUE),M261&lt;=VLOOKUP(M261,データ!$E$14:$G$21,2,TRUE)),VLOOKUP(M261,データ!$E$14:$H$21,4,TRUE),0)))</f>
        <v>5</v>
      </c>
      <c r="AA261" s="33" t="str">
        <f t="shared" si="261"/>
        <v>○</v>
      </c>
      <c r="AB261" s="227">
        <f t="shared" si="262"/>
        <v>0.41666666666666669</v>
      </c>
      <c r="AC261" s="227">
        <f t="shared" si="263"/>
        <v>0.70833333333333337</v>
      </c>
      <c r="AD261" s="228" t="str">
        <f>IF(K261=1,IF(ISERROR(VLOOKUP(M261,データ!$A$3:$C$23,2,FALSE)),"",VLOOKUP(M261,データ!$A$3:$C$23,2,FALSE)),(IF(ISERROR(VLOOKUP(M261,データ!$A$3:$C$23,2,FALSE)),"",VLOOKUP(M261,データ!$A$3:$C$23,2,FALSE))))</f>
        <v>振替休日</v>
      </c>
    </row>
    <row r="262" spans="1:30">
      <c r="A262" s="1">
        <f>IF(AND(M262&gt;=VLOOKUP(M262,データ!$K$3:$O$6,1,TRUE),M262&lt;=VLOOKUP(M262,データ!$K$3:$O$6,2,TRUE)),VLOOKUP(M262,データ!$K$3:$O$6,5,TRUE),"")</f>
        <v>1</v>
      </c>
      <c r="B262" s="74">
        <f>IF(AND(M262&gt;=VLOOKUP(M262,データ!$K$3:$O$6,1,TRUE),M262&lt;=VLOOKUP(M262,データ!$K$3:$O$6,2,TRUE)),VLOOKUP(M262,データ!$K$3:$O$6,3,TRUE),"")</f>
        <v>0.41666666666666669</v>
      </c>
      <c r="C262" s="1">
        <f>IF(AND(M262&gt;=VLOOKUP(M262,データ!$K$11:$O$16,1,TRUE),M262&lt;=VLOOKUP(M262,データ!$K$11:$O$16,2,TRUE)),VLOOKUP(M262,データ!$K$11:$O$16,5,TRUE),0)</f>
        <v>0</v>
      </c>
      <c r="D262" s="74" t="str">
        <f>IF(AND(M262&gt;=VLOOKUP(M262,データ!$K$11:$O$16,1,TRUE),M262&lt;=VLOOKUP(M262,データ!$K$11:$O$16,2,TRUE)),VLOOKUP(M262,データ!$K$11:$O$16,3,TRUE),"")</f>
        <v/>
      </c>
      <c r="E262" s="74">
        <f t="shared" si="252"/>
        <v>0.41666666666666669</v>
      </c>
      <c r="F262" s="75">
        <f>VLOOKUP(E262,データ!$K$20:$O$24,5,FALSE)</f>
        <v>0</v>
      </c>
      <c r="G262" s="74">
        <f>IF(AND(M262&gt;=VLOOKUP(M262,データ!$K$3:$O$6,1,TRUE),M262&lt;=VLOOKUP(M262,データ!$K$3:$O$6,2,TRUE)),VLOOKUP(M262,データ!$K$3:$O$6,4,TRUE),"")</f>
        <v>0.70833333333333337</v>
      </c>
      <c r="H262" s="256">
        <f>INDEX(データ!L$21:N$24,MATCH(配置表!E262,データ!K$21:K$24,0),MATCH(配置表!G262,データ!L$20:N$20,0))</f>
        <v>1</v>
      </c>
      <c r="I262" s="52" t="str">
        <f>IF(ISERROR(VLOOKUP(M262,データ!$A$3:$C$20,3,FALSE)),"",VLOOKUP(M262,データ!$A$3:$C$20,3,FALSE))</f>
        <v/>
      </c>
      <c r="J262" s="52" t="str">
        <f t="shared" si="253"/>
        <v/>
      </c>
      <c r="K262" s="53">
        <f t="shared" si="264"/>
        <v>1</v>
      </c>
      <c r="L262" s="28" t="str">
        <f t="shared" si="254"/>
        <v>閉</v>
      </c>
      <c r="M262" s="9">
        <f t="shared" si="265"/>
        <v>45986</v>
      </c>
      <c r="N262" s="10" t="str">
        <f t="shared" si="255"/>
        <v>火</v>
      </c>
      <c r="O262" s="63" t="str">
        <f>IF(AND(M262&gt;=VLOOKUP(M262,データ!$E$3:$G$9,1,TRUE),M262&lt;=VLOOKUP(M262,データ!$E$3:$G$9,2,TRUE)),VLOOKUP(M262,データ!$E$3:$G$9,3,TRUE),"")</f>
        <v/>
      </c>
      <c r="P262" s="63" t="str">
        <f>IF(AND(M262&gt;=VLOOKUP(M262,データ!$E$14:$G$21,1,TRUE),M262&lt;=VLOOKUP(M262,データ!$E$14:$G$21,2,TRUE)),VLOOKUP(M262,データ!$E$14:$G$21,3,TRUE),"")</f>
        <v>テーマ展</v>
      </c>
      <c r="Q262" s="44" t="str">
        <f t="shared" si="256"/>
        <v>休</v>
      </c>
      <c r="R262" s="32"/>
      <c r="S262" s="33" t="str">
        <f t="shared" si="277"/>
        <v>休</v>
      </c>
      <c r="T262" s="32"/>
      <c r="U262" s="33" t="str">
        <f t="shared" si="267"/>
        <v>休</v>
      </c>
      <c r="V262" s="32"/>
      <c r="W262" s="33" t="str">
        <f t="shared" si="268"/>
        <v>休</v>
      </c>
      <c r="X262" s="32"/>
      <c r="Y262" s="33" t="str">
        <f t="shared" si="260"/>
        <v>休</v>
      </c>
      <c r="Z262" s="32" t="str">
        <f>IF(L262="閉","",(IF(AND(M262&gt;=VLOOKUP(M262,データ!$E$3:$G$9,1,TRUE),M262&lt;=VLOOKUP(M262,データ!$E$3:$G$9,2,TRUE)),VLOOKUP(M262,データ!$E$3:$H$9,4,TRUE),0)+IF(AND(M262&gt;=VLOOKUP(M262,データ!$E$14:$G$21,1,TRUE),M262&lt;=VLOOKUP(M262,データ!$E$14:$G$21,2,TRUE)),VLOOKUP(M262,データ!$E$14:$H$21,4,TRUE),0)))</f>
        <v/>
      </c>
      <c r="AA262" s="33" t="str">
        <f t="shared" si="261"/>
        <v>休</v>
      </c>
      <c r="AB262" s="227" t="str">
        <f t="shared" si="262"/>
        <v/>
      </c>
      <c r="AC262" s="227" t="str">
        <f t="shared" si="263"/>
        <v/>
      </c>
      <c r="AD262" s="228" t="str">
        <f>IF(K262=1,IF(ISERROR(VLOOKUP(M262,データ!$A$3:$C$23,2,FALSE)),"",VLOOKUP(M262,データ!$A$3:$C$23,2,FALSE)),(IF(ISERROR(VLOOKUP(M262,データ!$A$3:$C$23,2,FALSE)),"",VLOOKUP(M262,データ!$A$3:$C$23,2,FALSE))))</f>
        <v/>
      </c>
    </row>
    <row r="263" spans="1:30">
      <c r="A263" s="1">
        <f>IF(AND(M263&gt;=VLOOKUP(M263,データ!$K$3:$O$6,1,TRUE),M263&lt;=VLOOKUP(M263,データ!$K$3:$O$6,2,TRUE)),VLOOKUP(M263,データ!$K$3:$O$6,5,TRUE),"")</f>
        <v>1</v>
      </c>
      <c r="B263" s="74">
        <f>IF(AND(M263&gt;=VLOOKUP(M263,データ!$K$3:$O$6,1,TRUE),M263&lt;=VLOOKUP(M263,データ!$K$3:$O$6,2,TRUE)),VLOOKUP(M263,データ!$K$3:$O$6,3,TRUE),"")</f>
        <v>0.41666666666666669</v>
      </c>
      <c r="C263" s="1">
        <f>IF(AND(M263&gt;=VLOOKUP(M263,データ!$K$11:$O$16,1,TRUE),M263&lt;=VLOOKUP(M263,データ!$K$11:$O$16,2,TRUE)),VLOOKUP(M263,データ!$K$11:$O$16,5,TRUE),0)</f>
        <v>0</v>
      </c>
      <c r="D263" s="74" t="str">
        <f>IF(AND(M263&gt;=VLOOKUP(M263,データ!$K$11:$O$16,1,TRUE),M263&lt;=VLOOKUP(M263,データ!$K$11:$O$16,2,TRUE)),VLOOKUP(M263,データ!$K$11:$O$16,3,TRUE),"")</f>
        <v/>
      </c>
      <c r="E263" s="74">
        <f t="shared" si="252"/>
        <v>0.41666666666666669</v>
      </c>
      <c r="F263" s="75">
        <f>VLOOKUP(E263,データ!$K$20:$O$24,5,FALSE)</f>
        <v>0</v>
      </c>
      <c r="G263" s="74">
        <f>IF(AND(M263&gt;=VLOOKUP(M263,データ!$K$3:$O$6,1,TRUE),M263&lt;=VLOOKUP(M263,データ!$K$3:$O$6,2,TRUE)),VLOOKUP(M263,データ!$K$3:$O$6,4,TRUE),"")</f>
        <v>0.70833333333333337</v>
      </c>
      <c r="H263" s="256">
        <f>INDEX(データ!L$21:N$24,MATCH(配置表!E263,データ!K$21:K$24,0),MATCH(配置表!G263,データ!L$20:N$20,0))</f>
        <v>1</v>
      </c>
      <c r="I263" s="52" t="str">
        <f>IF(ISERROR(VLOOKUP(M263,データ!$A$3:$C$20,3,FALSE)),"",VLOOKUP(M263,データ!$A$3:$C$20,3,FALSE))</f>
        <v/>
      </c>
      <c r="J263" s="52" t="str">
        <f t="shared" si="253"/>
        <v/>
      </c>
      <c r="K263" s="53">
        <f t="shared" si="264"/>
        <v>0</v>
      </c>
      <c r="L263" s="28" t="str">
        <f t="shared" si="254"/>
        <v/>
      </c>
      <c r="M263" s="9">
        <f t="shared" si="265"/>
        <v>45987</v>
      </c>
      <c r="N263" s="10" t="str">
        <f t="shared" si="255"/>
        <v>水</v>
      </c>
      <c r="O263" s="63" t="str">
        <f>IF(AND(M263&gt;=VLOOKUP(M263,データ!$E$3:$G$9,1,TRUE),M263&lt;=VLOOKUP(M263,データ!$E$3:$G$9,2,TRUE)),VLOOKUP(M263,データ!$E$3:$G$9,3,TRUE),"")</f>
        <v/>
      </c>
      <c r="P263" s="63" t="str">
        <f>IF(AND(M263&gt;=VLOOKUP(M263,データ!$E$14:$G$21,1,TRUE),M263&lt;=VLOOKUP(M263,データ!$E$14:$G$21,2,TRUE)),VLOOKUP(M263,データ!$E$14:$G$21,3,TRUE),"")</f>
        <v>テーマ展</v>
      </c>
      <c r="Q263" s="45" t="str">
        <f t="shared" si="256"/>
        <v>○</v>
      </c>
      <c r="R263" s="45"/>
      <c r="S263" s="10" t="str">
        <f t="shared" si="277"/>
        <v/>
      </c>
      <c r="T263" s="45"/>
      <c r="U263" s="10" t="str">
        <f t="shared" si="267"/>
        <v>●</v>
      </c>
      <c r="V263" s="32"/>
      <c r="W263" s="33" t="str">
        <f t="shared" si="268"/>
        <v/>
      </c>
      <c r="X263" s="32"/>
      <c r="Y263" s="33" t="str">
        <f t="shared" si="260"/>
        <v>○</v>
      </c>
      <c r="Z263" s="32">
        <f>IF(L263="閉","",(IF(AND(M263&gt;=VLOOKUP(M263,データ!$E$3:$G$9,1,TRUE),M263&lt;=VLOOKUP(M263,データ!$E$3:$G$9,2,TRUE)),VLOOKUP(M263,データ!$E$3:$H$9,4,TRUE),0)+IF(AND(M263&gt;=VLOOKUP(M263,データ!$E$14:$G$21,1,TRUE),M263&lt;=VLOOKUP(M263,データ!$E$14:$G$21,2,TRUE)),VLOOKUP(M263,データ!$E$14:$H$21,4,TRUE),0)))</f>
        <v>1</v>
      </c>
      <c r="AA263" s="33" t="str">
        <f t="shared" si="261"/>
        <v>△</v>
      </c>
      <c r="AB263" s="227">
        <f t="shared" si="262"/>
        <v>0.41666666666666669</v>
      </c>
      <c r="AC263" s="227">
        <f t="shared" si="263"/>
        <v>0.70833333333333337</v>
      </c>
      <c r="AD263" s="228" t="str">
        <f>IF(K263=1,IF(ISERROR(VLOOKUP(M263,データ!$A$3:$C$23,2,FALSE)),"",VLOOKUP(M263,データ!$A$3:$C$23,2,FALSE)),(IF(ISERROR(VLOOKUP(M263,データ!$A$3:$C$23,2,FALSE)),"",VLOOKUP(M263,データ!$A$3:$C$23,2,FALSE))))</f>
        <v/>
      </c>
    </row>
    <row r="264" spans="1:30">
      <c r="A264" s="1">
        <f>IF(AND(M264&gt;=VLOOKUP(M264,データ!$K$3:$O$6,1,TRUE),M264&lt;=VLOOKUP(M264,データ!$K$3:$O$6,2,TRUE)),VLOOKUP(M264,データ!$K$3:$O$6,5,TRUE),"")</f>
        <v>1</v>
      </c>
      <c r="B264" s="74">
        <f>IF(AND(M264&gt;=VLOOKUP(M264,データ!$K$3:$O$6,1,TRUE),M264&lt;=VLOOKUP(M264,データ!$K$3:$O$6,2,TRUE)),VLOOKUP(M264,データ!$K$3:$O$6,3,TRUE),"")</f>
        <v>0.41666666666666669</v>
      </c>
      <c r="C264" s="1">
        <f>IF(AND(M264&gt;=VLOOKUP(M264,データ!$K$11:$O$16,1,TRUE),M264&lt;=VLOOKUP(M264,データ!$K$11:$O$16,2,TRUE)),VLOOKUP(M264,データ!$K$11:$O$16,5,TRUE),0)</f>
        <v>0</v>
      </c>
      <c r="D264" s="74" t="str">
        <f>IF(AND(M264&gt;=VLOOKUP(M264,データ!$K$11:$O$16,1,TRUE),M264&lt;=VLOOKUP(M264,データ!$K$11:$O$16,2,TRUE)),VLOOKUP(M264,データ!$K$11:$O$16,3,TRUE),"")</f>
        <v/>
      </c>
      <c r="E264" s="74">
        <f t="shared" si="252"/>
        <v>0.41666666666666669</v>
      </c>
      <c r="F264" s="75">
        <f>VLOOKUP(E264,データ!$K$20:$O$24,5,FALSE)</f>
        <v>0</v>
      </c>
      <c r="G264" s="74">
        <f>IF(AND(M264&gt;=VLOOKUP(M264,データ!$K$3:$O$6,1,TRUE),M264&lt;=VLOOKUP(M264,データ!$K$3:$O$6,2,TRUE)),VLOOKUP(M264,データ!$K$3:$O$6,4,TRUE),"")</f>
        <v>0.70833333333333337</v>
      </c>
      <c r="H264" s="256">
        <f>INDEX(データ!L$21:N$24,MATCH(配置表!E264,データ!K$21:K$24,0),MATCH(配置表!G264,データ!L$20:N$20,0))</f>
        <v>1</v>
      </c>
      <c r="I264" s="52" t="str">
        <f>IF(ISERROR(VLOOKUP(M264,データ!$A$3:$C$20,3,FALSE)),"",VLOOKUP(M264,データ!$A$3:$C$20,3,FALSE))</f>
        <v/>
      </c>
      <c r="J264" s="52" t="str">
        <f t="shared" si="253"/>
        <v/>
      </c>
      <c r="K264" s="53">
        <f t="shared" si="264"/>
        <v>0</v>
      </c>
      <c r="L264" s="28" t="str">
        <f t="shared" si="254"/>
        <v/>
      </c>
      <c r="M264" s="9">
        <f t="shared" si="265"/>
        <v>45988</v>
      </c>
      <c r="N264" s="10" t="str">
        <f t="shared" si="255"/>
        <v>木</v>
      </c>
      <c r="O264" s="63" t="str">
        <f>IF(AND(M264&gt;=VLOOKUP(M264,データ!$E$3:$G$9,1,TRUE),M264&lt;=VLOOKUP(M264,データ!$E$3:$G$9,2,TRUE)),VLOOKUP(M264,データ!$E$3:$G$9,3,TRUE),"")</f>
        <v/>
      </c>
      <c r="P264" s="63" t="str">
        <f>IF(AND(M264&gt;=VLOOKUP(M264,データ!$E$14:$G$21,1,TRUE),M264&lt;=VLOOKUP(M264,データ!$E$14:$G$21,2,TRUE)),VLOOKUP(M264,データ!$E$14:$G$21,3,TRUE),"")</f>
        <v>テーマ展</v>
      </c>
      <c r="Q264" s="45" t="str">
        <f t="shared" si="256"/>
        <v>○</v>
      </c>
      <c r="R264" s="45"/>
      <c r="S264" s="10" t="str">
        <f t="shared" si="277"/>
        <v/>
      </c>
      <c r="T264" s="45"/>
      <c r="U264" s="10" t="str">
        <f t="shared" si="267"/>
        <v>●</v>
      </c>
      <c r="V264" s="32"/>
      <c r="W264" s="33" t="str">
        <f t="shared" si="268"/>
        <v/>
      </c>
      <c r="X264" s="32"/>
      <c r="Y264" s="33" t="str">
        <f t="shared" si="260"/>
        <v>○</v>
      </c>
      <c r="Z264" s="32">
        <f>IF(L264="閉","",(IF(AND(M264&gt;=VLOOKUP(M264,データ!$E$3:$G$9,1,TRUE),M264&lt;=VLOOKUP(M264,データ!$E$3:$G$9,2,TRUE)),VLOOKUP(M264,データ!$E$3:$H$9,4,TRUE),0)+IF(AND(M264&gt;=VLOOKUP(M264,データ!$E$14:$G$21,1,TRUE),M264&lt;=VLOOKUP(M264,データ!$E$14:$G$21,2,TRUE)),VLOOKUP(M264,データ!$E$14:$H$21,4,TRUE),0)))</f>
        <v>1</v>
      </c>
      <c r="AA264" s="33" t="str">
        <f t="shared" si="261"/>
        <v>△</v>
      </c>
      <c r="AB264" s="227">
        <f t="shared" si="262"/>
        <v>0.41666666666666669</v>
      </c>
      <c r="AC264" s="227">
        <f t="shared" si="263"/>
        <v>0.70833333333333337</v>
      </c>
      <c r="AD264" s="228" t="str">
        <f>IF(K264=1,IF(ISERROR(VLOOKUP(M264,データ!$A$3:$C$23,2,FALSE)),"",VLOOKUP(M264,データ!$A$3:$C$23,2,FALSE)),(IF(ISERROR(VLOOKUP(M264,データ!$A$3:$C$23,2,FALSE)),"",VLOOKUP(M264,データ!$A$3:$C$23,2,FALSE))))</f>
        <v/>
      </c>
    </row>
    <row r="265" spans="1:30">
      <c r="A265" s="1">
        <f>IF(AND(M265&gt;=VLOOKUP(M265,データ!$K$3:$O$6,1,TRUE),M265&lt;=VLOOKUP(M265,データ!$K$3:$O$6,2,TRUE)),VLOOKUP(M265,データ!$K$3:$O$6,5,TRUE),"")</f>
        <v>1</v>
      </c>
      <c r="B265" s="74">
        <f>IF(AND(M265&gt;=VLOOKUP(M265,データ!$K$3:$O$6,1,TRUE),M265&lt;=VLOOKUP(M265,データ!$K$3:$O$6,2,TRUE)),VLOOKUP(M265,データ!$K$3:$O$6,3,TRUE),"")</f>
        <v>0.41666666666666669</v>
      </c>
      <c r="C265" s="1">
        <f>IF(AND(M265&gt;=VLOOKUP(M265,データ!$K$11:$O$16,1,TRUE),M265&lt;=VLOOKUP(M265,データ!$K$11:$O$16,2,TRUE)),VLOOKUP(M265,データ!$K$11:$O$16,5,TRUE),0)</f>
        <v>0</v>
      </c>
      <c r="D265" s="74" t="str">
        <f>IF(AND(M265&gt;=VLOOKUP(M265,データ!$K$11:$O$16,1,TRUE),M265&lt;=VLOOKUP(M265,データ!$K$11:$O$16,2,TRUE)),VLOOKUP(M265,データ!$K$11:$O$16,3,TRUE),"")</f>
        <v/>
      </c>
      <c r="E265" s="74">
        <f t="shared" si="252"/>
        <v>0.41666666666666669</v>
      </c>
      <c r="F265" s="75">
        <f>VLOOKUP(E265,データ!$K$20:$O$24,5,FALSE)</f>
        <v>0</v>
      </c>
      <c r="G265" s="74">
        <f>IF(AND(M265&gt;=VLOOKUP(M265,データ!$K$3:$O$6,1,TRUE),M265&lt;=VLOOKUP(M265,データ!$K$3:$O$6,2,TRUE)),VLOOKUP(M265,データ!$K$3:$O$6,4,TRUE),"")</f>
        <v>0.70833333333333337</v>
      </c>
      <c r="H265" s="256">
        <f>INDEX(データ!L$21:N$24,MATCH(配置表!E265,データ!K$21:K$24,0),MATCH(配置表!G265,データ!L$20:N$20,0))</f>
        <v>1</v>
      </c>
      <c r="I265" s="52" t="str">
        <f>IF(ISERROR(VLOOKUP(M265,データ!$A$3:$C$20,3,FALSE)),"",VLOOKUP(M265,データ!$A$3:$C$20,3,FALSE))</f>
        <v/>
      </c>
      <c r="J265" s="52" t="str">
        <f t="shared" si="253"/>
        <v/>
      </c>
      <c r="K265" s="53">
        <f t="shared" si="264"/>
        <v>0</v>
      </c>
      <c r="L265" s="28" t="str">
        <f t="shared" si="254"/>
        <v/>
      </c>
      <c r="M265" s="9">
        <f t="shared" si="265"/>
        <v>45989</v>
      </c>
      <c r="N265" s="10" t="str">
        <f t="shared" si="255"/>
        <v>金</v>
      </c>
      <c r="O265" s="63" t="str">
        <f>IF(AND(M265&gt;=VLOOKUP(M265,データ!$E$3:$G$9,1,TRUE),M265&lt;=VLOOKUP(M265,データ!$E$3:$G$9,2,TRUE)),VLOOKUP(M265,データ!$E$3:$G$9,3,TRUE),"")</f>
        <v/>
      </c>
      <c r="P265" s="63" t="str">
        <f>IF(AND(M265&gt;=VLOOKUP(M265,データ!$E$14:$G$21,1,TRUE),M265&lt;=VLOOKUP(M265,データ!$E$14:$G$21,2,TRUE)),VLOOKUP(M265,データ!$E$14:$G$21,3,TRUE),"")</f>
        <v>テーマ展</v>
      </c>
      <c r="Q265" s="45" t="str">
        <f t="shared" si="256"/>
        <v>○</v>
      </c>
      <c r="R265" s="45"/>
      <c r="S265" s="10" t="str">
        <f t="shared" si="277"/>
        <v/>
      </c>
      <c r="T265" s="45"/>
      <c r="U265" s="10" t="str">
        <f t="shared" si="267"/>
        <v>●</v>
      </c>
      <c r="V265" s="32"/>
      <c r="W265" s="33" t="str">
        <f t="shared" si="268"/>
        <v/>
      </c>
      <c r="X265" s="32"/>
      <c r="Y265" s="33" t="str">
        <f t="shared" si="260"/>
        <v>○</v>
      </c>
      <c r="Z265" s="32">
        <f>IF(L265="閉","",(IF(AND(M265&gt;=VLOOKUP(M265,データ!$E$3:$G$9,1,TRUE),M265&lt;=VLOOKUP(M265,データ!$E$3:$G$9,2,TRUE)),VLOOKUP(M265,データ!$E$3:$H$9,4,TRUE),0)+IF(AND(M265&gt;=VLOOKUP(M265,データ!$E$14:$G$21,1,TRUE),M265&lt;=VLOOKUP(M265,データ!$E$14:$G$21,2,TRUE)),VLOOKUP(M265,データ!$E$14:$H$21,4,TRUE),0)))</f>
        <v>1</v>
      </c>
      <c r="AA265" s="33" t="str">
        <f t="shared" si="261"/>
        <v>△</v>
      </c>
      <c r="AB265" s="227">
        <f t="shared" si="262"/>
        <v>0.41666666666666669</v>
      </c>
      <c r="AC265" s="227">
        <f t="shared" si="263"/>
        <v>0.70833333333333337</v>
      </c>
      <c r="AD265" s="228" t="str">
        <f>IF(K265=1,IF(ISERROR(VLOOKUP(M265,データ!$A$3:$C$23,2,FALSE)),"",VLOOKUP(M265,データ!$A$3:$C$23,2,FALSE)),(IF(ISERROR(VLOOKUP(M265,データ!$A$3:$C$23,2,FALSE)),"",VLOOKUP(M265,データ!$A$3:$C$23,2,FALSE))))</f>
        <v/>
      </c>
    </row>
    <row r="266" spans="1:30">
      <c r="A266" s="1">
        <f>IF(AND(M266&gt;=VLOOKUP(M266,データ!$K$3:$O$6,1,TRUE),M266&lt;=VLOOKUP(M266,データ!$K$3:$O$6,2,TRUE)),VLOOKUP(M266,データ!$K$3:$O$6,5,TRUE),"")</f>
        <v>1</v>
      </c>
      <c r="B266" s="74">
        <f>IF(AND(M266&gt;=VLOOKUP(M266,データ!$K$3:$O$6,1,TRUE),M266&lt;=VLOOKUP(M266,データ!$K$3:$O$6,2,TRUE)),VLOOKUP(M266,データ!$K$3:$O$6,3,TRUE),"")</f>
        <v>0.41666666666666669</v>
      </c>
      <c r="C266" s="1">
        <f>IF(AND(M266&gt;=VLOOKUP(M266,データ!$K$11:$O$16,1,TRUE),M266&lt;=VLOOKUP(M266,データ!$K$11:$O$16,2,TRUE)),VLOOKUP(M266,データ!$K$11:$O$16,5,TRUE),0)</f>
        <v>0</v>
      </c>
      <c r="D266" s="74" t="str">
        <f>IF(AND(M266&gt;=VLOOKUP(M266,データ!$K$11:$O$16,1,TRUE),M266&lt;=VLOOKUP(M266,データ!$K$11:$O$16,2,TRUE)),VLOOKUP(M266,データ!$K$11:$O$16,3,TRUE),"")</f>
        <v/>
      </c>
      <c r="E266" s="74">
        <f t="shared" si="252"/>
        <v>0.41666666666666669</v>
      </c>
      <c r="F266" s="75">
        <f>VLOOKUP(E266,データ!$K$20:$O$24,5,FALSE)</f>
        <v>0</v>
      </c>
      <c r="G266" s="74">
        <f>IF(AND(M266&gt;=VLOOKUP(M266,データ!$K$3:$O$6,1,TRUE),M266&lt;=VLOOKUP(M266,データ!$K$3:$O$6,2,TRUE)),VLOOKUP(M266,データ!$K$3:$O$6,4,TRUE),"")</f>
        <v>0.70833333333333337</v>
      </c>
      <c r="H266" s="256">
        <f>INDEX(データ!L$21:N$24,MATCH(配置表!E266,データ!K$21:K$24,0),MATCH(配置表!G266,データ!L$20:N$20,0))</f>
        <v>1</v>
      </c>
      <c r="I266" s="52" t="str">
        <f>IF(ISERROR(VLOOKUP(M266,データ!$A$3:$C$20,3,FALSE)),"",VLOOKUP(M266,データ!$A$3:$C$20,3,FALSE))</f>
        <v/>
      </c>
      <c r="J266" s="52" t="str">
        <f t="shared" si="253"/>
        <v/>
      </c>
      <c r="K266" s="53">
        <f t="shared" si="264"/>
        <v>0</v>
      </c>
      <c r="L266" s="28" t="str">
        <f t="shared" si="254"/>
        <v/>
      </c>
      <c r="M266" s="9">
        <f t="shared" si="265"/>
        <v>45990</v>
      </c>
      <c r="N266" s="10" t="str">
        <f t="shared" si="255"/>
        <v>土</v>
      </c>
      <c r="O266" s="63" t="str">
        <f>IF(AND(M266&gt;=VLOOKUP(M266,データ!$E$3:$G$9,1,TRUE),M266&lt;=VLOOKUP(M266,データ!$E$3:$G$9,2,TRUE)),VLOOKUP(M266,データ!$E$3:$G$9,3,TRUE),"")</f>
        <v/>
      </c>
      <c r="P266" s="63" t="str">
        <f>IF(AND(M266&gt;=VLOOKUP(M266,データ!$E$14:$G$21,1,TRUE),M266&lt;=VLOOKUP(M266,データ!$E$14:$G$21,2,TRUE)),VLOOKUP(M266,データ!$E$14:$G$21,3,TRUE),"")</f>
        <v>テーマ展</v>
      </c>
      <c r="Q266" s="45" t="str">
        <f t="shared" si="256"/>
        <v>○</v>
      </c>
      <c r="R266" s="45"/>
      <c r="S266" s="10" t="str">
        <f t="shared" si="277"/>
        <v/>
      </c>
      <c r="T266" s="45"/>
      <c r="U266" s="10" t="str">
        <f t="shared" si="267"/>
        <v>●</v>
      </c>
      <c r="V266" s="32"/>
      <c r="W266" s="33" t="str">
        <f t="shared" si="268"/>
        <v/>
      </c>
      <c r="X266" s="32"/>
      <c r="Y266" s="33" t="str">
        <f t="shared" si="260"/>
        <v>○</v>
      </c>
      <c r="Z266" s="32">
        <f>IF(L266="閉","",(IF(AND(M266&gt;=VLOOKUP(M266,データ!$E$3:$G$9,1,TRUE),M266&lt;=VLOOKUP(M266,データ!$E$3:$G$9,2,TRUE)),VLOOKUP(M266,データ!$E$3:$H$9,4,TRUE),0)+IF(AND(M266&gt;=VLOOKUP(M266,データ!$E$14:$G$21,1,TRUE),M266&lt;=VLOOKUP(M266,データ!$E$14:$G$21,2,TRUE)),VLOOKUP(M266,データ!$E$14:$H$21,4,TRUE),0)))</f>
        <v>1</v>
      </c>
      <c r="AA266" s="33" t="str">
        <f t="shared" si="261"/>
        <v>△</v>
      </c>
      <c r="AB266" s="227">
        <f t="shared" si="262"/>
        <v>0.41666666666666669</v>
      </c>
      <c r="AC266" s="227">
        <f t="shared" si="263"/>
        <v>0.70833333333333337</v>
      </c>
      <c r="AD266" s="228" t="str">
        <f>IF(K266=1,IF(ISERROR(VLOOKUP(M266,データ!$A$3:$C$23,2,FALSE)),"",VLOOKUP(M266,データ!$A$3:$C$23,2,FALSE)),(IF(ISERROR(VLOOKUP(M266,データ!$A$3:$C$23,2,FALSE)),"",VLOOKUP(M266,データ!$A$3:$C$23,2,FALSE))))</f>
        <v/>
      </c>
    </row>
    <row r="267" spans="1:30">
      <c r="A267" s="1">
        <f>IF(AND(M267&gt;=VLOOKUP(M267,データ!$K$3:$O$6,1,TRUE),M267&lt;=VLOOKUP(M267,データ!$K$3:$O$6,2,TRUE)),VLOOKUP(M267,データ!$K$3:$O$6,5,TRUE),"")</f>
        <v>1</v>
      </c>
      <c r="B267" s="74">
        <f>IF(AND(M267&gt;=VLOOKUP(M267,データ!$K$3:$O$6,1,TRUE),M267&lt;=VLOOKUP(M267,データ!$K$3:$O$6,2,TRUE)),VLOOKUP(M267,データ!$K$3:$O$6,3,TRUE),"")</f>
        <v>0.41666666666666669</v>
      </c>
      <c r="C267" s="1">
        <f>IF(AND(M267&gt;=VLOOKUP(M267,データ!$K$11:$O$16,1,TRUE),M267&lt;=VLOOKUP(M267,データ!$K$11:$O$16,2,TRUE)),VLOOKUP(M267,データ!$K$11:$O$16,5,TRUE),0)</f>
        <v>0</v>
      </c>
      <c r="D267" s="74" t="str">
        <f>IF(AND(M267&gt;=VLOOKUP(M267,データ!$K$11:$O$16,1,TRUE),M267&lt;=VLOOKUP(M267,データ!$K$11:$O$16,2,TRUE)),VLOOKUP(M267,データ!$K$11:$O$16,3,TRUE),"")</f>
        <v/>
      </c>
      <c r="E267" s="74">
        <f t="shared" si="252"/>
        <v>0.41666666666666669</v>
      </c>
      <c r="F267" s="75">
        <f>VLOOKUP(E267,データ!$K$20:$O$24,5,FALSE)</f>
        <v>0</v>
      </c>
      <c r="G267" s="74">
        <f>IF(AND(M267&gt;=VLOOKUP(M267,データ!$K$3:$O$6,1,TRUE),M267&lt;=VLOOKUP(M267,データ!$K$3:$O$6,2,TRUE)),VLOOKUP(M267,データ!$K$3:$O$6,4,TRUE),"")</f>
        <v>0.70833333333333337</v>
      </c>
      <c r="H267" s="256">
        <f>INDEX(データ!L$21:N$24,MATCH(配置表!E267,データ!K$21:K$24,0),MATCH(配置表!G267,データ!L$20:N$20,0))</f>
        <v>1</v>
      </c>
      <c r="I267" s="52" t="str">
        <f>IF(ISERROR(VLOOKUP(M267,データ!$A$3:$C$20,3,FALSE)),"",VLOOKUP(M267,データ!$A$3:$C$20,3,FALSE))</f>
        <v/>
      </c>
      <c r="J267" s="52" t="str">
        <f t="shared" si="253"/>
        <v/>
      </c>
      <c r="K267" s="53">
        <f>IF(K266=2,IF(I267=1,2,1),IF(I267=1,IF(J267=1,2,0),IF(J267=1,1,0)))</f>
        <v>0</v>
      </c>
      <c r="L267" s="28" t="str">
        <f t="shared" si="254"/>
        <v/>
      </c>
      <c r="M267" s="9">
        <f t="shared" si="265"/>
        <v>45991</v>
      </c>
      <c r="N267" s="10" t="str">
        <f t="shared" si="255"/>
        <v>日</v>
      </c>
      <c r="O267" s="63" t="str">
        <f>IF(AND(M267&gt;=VLOOKUP(M267,データ!$E$3:$G$9,1,TRUE),M267&lt;=VLOOKUP(M267,データ!$E$3:$G$9,2,TRUE)),VLOOKUP(M267,データ!$E$3:$G$9,3,TRUE),"")</f>
        <v/>
      </c>
      <c r="P267" s="63" t="str">
        <f>IF(AND(M267&gt;=VLOOKUP(M267,データ!$E$14:$G$21,1,TRUE),M267&lt;=VLOOKUP(M267,データ!$E$14:$G$21,2,TRUE)),VLOOKUP(M267,データ!$E$14:$G$21,3,TRUE),"")</f>
        <v>テーマ展</v>
      </c>
      <c r="Q267" s="45" t="str">
        <f t="shared" si="256"/>
        <v>○</v>
      </c>
      <c r="R267" s="45"/>
      <c r="S267" s="10" t="str">
        <f t="shared" si="277"/>
        <v/>
      </c>
      <c r="T267" s="45"/>
      <c r="U267" s="10" t="str">
        <f t="shared" si="267"/>
        <v>●</v>
      </c>
      <c r="V267" s="32"/>
      <c r="W267" s="33" t="str">
        <f t="shared" si="268"/>
        <v/>
      </c>
      <c r="X267" s="32"/>
      <c r="Y267" s="33" t="str">
        <f t="shared" si="260"/>
        <v>○</v>
      </c>
      <c r="Z267" s="32">
        <f>IF(L267="閉","",(IF(AND(M267&gt;=VLOOKUP(M267,データ!$E$3:$G$9,1,TRUE),M267&lt;=VLOOKUP(M267,データ!$E$3:$G$9,2,TRUE)),VLOOKUP(M267,データ!$E$3:$H$9,4,TRUE),0)+IF(AND(M267&gt;=VLOOKUP(M267,データ!$E$14:$G$21,1,TRUE),M267&lt;=VLOOKUP(M267,データ!$E$14:$G$21,2,TRUE)),VLOOKUP(M267,データ!$E$14:$H$21,4,TRUE),0)))</f>
        <v>1</v>
      </c>
      <c r="AA267" s="33" t="str">
        <f t="shared" si="261"/>
        <v>△</v>
      </c>
      <c r="AB267" s="227">
        <f t="shared" si="262"/>
        <v>0.41666666666666669</v>
      </c>
      <c r="AC267" s="227">
        <f t="shared" si="263"/>
        <v>0.70833333333333337</v>
      </c>
      <c r="AD267" s="228" t="str">
        <f>IF(K267=1,IF(ISERROR(VLOOKUP(M267,データ!$A$3:$C$23,2,FALSE)),"",VLOOKUP(M267,データ!$A$3:$C$23,2,FALSE)),(IF(ISERROR(VLOOKUP(M267,データ!$A$3:$C$23,2,FALSE)),"",VLOOKUP(M267,データ!$A$3:$C$23,2,FALSE))))</f>
        <v/>
      </c>
    </row>
    <row r="268" spans="1:30" ht="12" thickBot="1">
      <c r="H268" s="256"/>
      <c r="I268" s="52"/>
      <c r="J268" s="52"/>
      <c r="K268" s="53"/>
      <c r="L268" s="28" t="str">
        <f t="shared" ref="L268:L303" si="286">IF(K268=1,"閉","")</f>
        <v/>
      </c>
      <c r="M268" s="61"/>
      <c r="N268" s="27"/>
      <c r="O268" s="65"/>
      <c r="P268" s="65"/>
      <c r="Q268" s="40"/>
      <c r="R268" s="41"/>
      <c r="S268" s="22"/>
      <c r="T268" s="41"/>
      <c r="U268" s="22"/>
      <c r="V268" s="23"/>
      <c r="W268" s="34"/>
      <c r="X268" s="23"/>
      <c r="Y268" s="34"/>
      <c r="Z268" s="23"/>
      <c r="AA268" s="34"/>
      <c r="AB268" s="229"/>
      <c r="AC268" s="230"/>
      <c r="AD268" s="231"/>
    </row>
    <row r="269" spans="1:30" ht="14.25" thickBot="1">
      <c r="H269" s="256"/>
      <c r="I269" s="52"/>
      <c r="J269" s="52"/>
      <c r="K269" s="53"/>
      <c r="L269" s="28" t="str">
        <f t="shared" si="286"/>
        <v/>
      </c>
      <c r="M269" s="57"/>
      <c r="N269" s="50"/>
      <c r="O269" s="50"/>
      <c r="P269" s="50"/>
      <c r="Q269" s="50"/>
      <c r="R269" s="50"/>
      <c r="S269" s="50"/>
      <c r="T269" s="37"/>
      <c r="U269" s="37"/>
      <c r="V269" s="50"/>
      <c r="W269" s="50"/>
      <c r="X269" s="50"/>
      <c r="Y269" s="50"/>
      <c r="Z269" s="50"/>
      <c r="AA269" s="50"/>
      <c r="AB269" s="224" t="str">
        <f>IF(ISERROR(VLOOKUP(M269,データ!$A$3:$C$23,2,FALSE)),"",VLOOKUP(M269,データ!$A$3:$C$23,2,FALSE))</f>
        <v/>
      </c>
      <c r="AC269" s="2"/>
    </row>
    <row r="270" spans="1:30" customFormat="1" ht="27.75" customHeight="1" thickBot="1">
      <c r="H270" s="257"/>
      <c r="I270" s="52"/>
      <c r="J270" s="52"/>
      <c r="K270" s="53"/>
      <c r="L270" s="28" t="str">
        <f t="shared" si="286"/>
        <v/>
      </c>
      <c r="M270" s="58"/>
      <c r="N270" s="59"/>
      <c r="O270" s="42" t="s">
        <v>5</v>
      </c>
      <c r="P270" s="42" t="s">
        <v>6</v>
      </c>
      <c r="Q270" s="49" t="s">
        <v>8</v>
      </c>
      <c r="R270" s="354" t="s">
        <v>13</v>
      </c>
      <c r="S270" s="355"/>
      <c r="T270" s="354" t="s">
        <v>14</v>
      </c>
      <c r="U270" s="355"/>
      <c r="V270" s="354" t="s">
        <v>9</v>
      </c>
      <c r="W270" s="355"/>
      <c r="X270" s="354" t="s">
        <v>10</v>
      </c>
      <c r="Y270" s="355"/>
      <c r="Z270" s="354" t="s">
        <v>1</v>
      </c>
      <c r="AA270" s="355"/>
      <c r="AB270" s="38" t="s">
        <v>114</v>
      </c>
      <c r="AC270" s="38" t="s">
        <v>35</v>
      </c>
      <c r="AD270" s="38" t="s">
        <v>116</v>
      </c>
    </row>
    <row r="271" spans="1:30">
      <c r="A271" s="1">
        <f>IF(AND(M271&gt;=VLOOKUP(M271,データ!$K$3:$O$6,1,TRUE),M271&lt;=VLOOKUP(M271,データ!$K$3:$O$6,2,TRUE)),VLOOKUP(M271,データ!$K$3:$O$6,5,TRUE),"")</f>
        <v>1</v>
      </c>
      <c r="B271" s="74">
        <f>IF(AND(M271&gt;=VLOOKUP(M271,データ!$K$3:$O$6,1,TRUE),M271&lt;=VLOOKUP(M271,データ!$K$3:$O$6,2,TRUE)),VLOOKUP(M271,データ!$K$3:$O$6,3,TRUE),"")</f>
        <v>0.41666666666666669</v>
      </c>
      <c r="C271" s="1">
        <f>IF(AND(M271&gt;=VLOOKUP(M271,データ!$K$11:$O$16,1,TRUE),M271&lt;=VLOOKUP(M271,データ!$K$11:$O$16,2,TRUE)),VLOOKUP(M271,データ!$K$11:$O$16,5,TRUE),0)</f>
        <v>0</v>
      </c>
      <c r="D271" s="74" t="str">
        <f>IF(AND(M271&gt;=VLOOKUP(M271,データ!$K$11:$O$16,1,TRUE),M271&lt;=VLOOKUP(M271,データ!$K$11:$O$16,2,TRUE)),VLOOKUP(M271,データ!$K$11:$O$16,3,TRUE),"")</f>
        <v/>
      </c>
      <c r="E271" s="74">
        <f t="shared" ref="E271:E301" si="287">IF(C271=2,IF(OR(N271="土",N271="日"),D271,B271),IF(C271=1,D271,B271))</f>
        <v>0.41666666666666669</v>
      </c>
      <c r="F271" s="75">
        <f>VLOOKUP(E271,データ!$K$20:$O$24,5,FALSE)</f>
        <v>0</v>
      </c>
      <c r="G271" s="74">
        <f>IF(AND(M271&gt;=VLOOKUP(M271,データ!$K$3:$O$6,1,TRUE),M271&lt;=VLOOKUP(M271,データ!$K$3:$O$6,2,TRUE)),VLOOKUP(M271,データ!$K$3:$O$6,4,TRUE),"")</f>
        <v>0.70833333333333337</v>
      </c>
      <c r="H271" s="256">
        <f>INDEX(データ!L$21:N$24,MATCH(配置表!E271,データ!K$21:K$24,0),MATCH(配置表!G271,データ!L$20:N$20,0))</f>
        <v>1</v>
      </c>
      <c r="I271" s="52" t="str">
        <f>IF(ISERROR(VLOOKUP(M271,データ!$A$3:$C$20,3,FALSE)),"",VLOOKUP(M271,データ!$A$3:$C$20,3,FALSE))</f>
        <v/>
      </c>
      <c r="J271" s="52">
        <f t="shared" ref="J271:J301" si="288">IF(N271="月",1,"")</f>
        <v>1</v>
      </c>
      <c r="K271" s="53">
        <f>IF(K267=2,IF(I271=1,2,1),IF(I271=1,IF(J271=1,2,0),IF(J271=1,1,0)))</f>
        <v>1</v>
      </c>
      <c r="L271" s="28" t="str">
        <f t="shared" ref="L271:L301" si="289">IF(AND(O271="",P271=""),"閉",IF(K271=1,"閉",""))</f>
        <v>閉</v>
      </c>
      <c r="M271" s="25">
        <f>M267+1</f>
        <v>45992</v>
      </c>
      <c r="N271" s="24" t="str">
        <f t="shared" ref="N271:N301" si="290">TEXT(WEEKDAY(M271,1),"aaa")</f>
        <v>月</v>
      </c>
      <c r="O271" s="70" t="str">
        <f>IF(AND(M271&gt;=VLOOKUP(M271,データ!$E$3:$G$9,1,TRUE),M271&lt;=VLOOKUP(M271,データ!$E$3:$G$9,2,TRUE)),VLOOKUP(M271,データ!$E$3:$G$9,3,TRUE),"")</f>
        <v/>
      </c>
      <c r="P271" s="63" t="str">
        <f>IF(AND(M271&gt;=VLOOKUP(M271,データ!$E$14:$G$21,1,TRUE),M271&lt;=VLOOKUP(M271,データ!$E$14:$G$21,2,TRUE)),VLOOKUP(M271,データ!$E$14:$G$21,3,TRUE),"")</f>
        <v>テーマ展</v>
      </c>
      <c r="Q271" s="44" t="str">
        <f t="shared" ref="Q271:Q301" si="291">IF(L271="閉","休","○")</f>
        <v>休</v>
      </c>
      <c r="R271" s="35"/>
      <c r="S271" s="47" t="str">
        <f t="shared" ref="S271:S301" si="292">IF(L271="閉","休",IF(O271="","",IF(O271="冬　特別展",IF(OR(N271="土",N271="日",I271=1),"○",""),"○")))</f>
        <v>休</v>
      </c>
      <c r="T271" s="35"/>
      <c r="U271" s="47" t="str">
        <f t="shared" ref="U271:U301" si="293">IF(L271="閉","休",IF(S271="","●","●"))</f>
        <v>休</v>
      </c>
      <c r="V271" s="35"/>
      <c r="W271" s="47" t="str">
        <f t="shared" ref="W271:W301" si="294">IF(L271="閉","休",IF(O271="","",IF(OR(N271="土",N271="日",I271=1),IF(OR(O271="ダミー　特別展",O271="ダミー　特別展"),"◎",IF(OR(O271="夏　特別展",O271="秋　特別展",O271="春　特別展"),"○","")),"")))</f>
        <v>休</v>
      </c>
      <c r="X271" s="35"/>
      <c r="Y271" s="47" t="str">
        <f t="shared" ref="Y271:Y301" si="295">IF(L271="閉","休",IF(H271=1,"○",IF(H271=2,"●","Err")))</f>
        <v>休</v>
      </c>
      <c r="Z271" s="35" t="str">
        <f>IF(L271="閉","",(IF(AND(M271&gt;=VLOOKUP(M271,データ!$E$3:$G$9,1,TRUE),M271&lt;=VLOOKUP(M271,データ!$E$3:$G$9,2,TRUE)),VLOOKUP(M271,データ!$E$3:$H$9,4,TRUE),0)+IF(AND(M271&gt;=VLOOKUP(M271,データ!$E$14:$G$21,1,TRUE),M271&lt;=VLOOKUP(M271,データ!$E$14:$G$21,2,TRUE)),VLOOKUP(M271,データ!$E$14:$H$21,4,TRUE),0)))</f>
        <v/>
      </c>
      <c r="AA271" s="47" t="str">
        <f t="shared" ref="AA271:AA301" si="296">IF(L271="閉","休",IF(O271="","△",IF(H271=1,"○",IF(H271=2,"●","Err"))))</f>
        <v>休</v>
      </c>
      <c r="AB271" s="232" t="str">
        <f t="shared" ref="AB271:AB300" si="297">IF(K271=1,"",E271)</f>
        <v/>
      </c>
      <c r="AC271" s="232" t="str">
        <f t="shared" ref="AC271:AC301" si="298">IF(K271=1,"",G271)</f>
        <v/>
      </c>
      <c r="AD271" s="226" t="str">
        <f>IF(K271=1,IF(ISERROR(VLOOKUP(M271,データ!$A$3:$C$23,2,FALSE)),"",VLOOKUP(M271,データ!$A$3:$C$23,2,FALSE)),(IF(ISERROR(VLOOKUP(M271,データ!$A$3:$C$23,2,FALSE)),"",VLOOKUP(M271,データ!$A$3:$C$23,2,FALSE))))</f>
        <v/>
      </c>
    </row>
    <row r="272" spans="1:30">
      <c r="A272" s="1">
        <f>IF(AND(M272&gt;=VLOOKUP(M272,データ!$K$3:$O$6,1,TRUE),M272&lt;=VLOOKUP(M272,データ!$K$3:$O$6,2,TRUE)),VLOOKUP(M272,データ!$K$3:$O$6,5,TRUE),"")</f>
        <v>1</v>
      </c>
      <c r="B272" s="74">
        <f>IF(AND(M272&gt;=VLOOKUP(M272,データ!$K$3:$O$6,1,TRUE),M272&lt;=VLOOKUP(M272,データ!$K$3:$O$6,2,TRUE)),VLOOKUP(M272,データ!$K$3:$O$6,3,TRUE),"")</f>
        <v>0.41666666666666669</v>
      </c>
      <c r="C272" s="1">
        <f>IF(AND(M272&gt;=VLOOKUP(M272,データ!$K$11:$O$16,1,TRUE),M272&lt;=VLOOKUP(M272,データ!$K$11:$O$16,2,TRUE)),VLOOKUP(M272,データ!$K$11:$O$16,5,TRUE),0)</f>
        <v>0</v>
      </c>
      <c r="D272" s="74" t="str">
        <f>IF(AND(M272&gt;=VLOOKUP(M272,データ!$K$11:$O$16,1,TRUE),M272&lt;=VLOOKUP(M272,データ!$K$11:$O$16,2,TRUE)),VLOOKUP(M272,データ!$K$11:$O$16,3,TRUE),"")</f>
        <v/>
      </c>
      <c r="E272" s="74">
        <f t="shared" si="287"/>
        <v>0.41666666666666669</v>
      </c>
      <c r="F272" s="75">
        <f>VLOOKUP(E272,データ!$K$20:$O$24,5,FALSE)</f>
        <v>0</v>
      </c>
      <c r="G272" s="74">
        <f>IF(AND(M272&gt;=VLOOKUP(M272,データ!$K$3:$O$6,1,TRUE),M272&lt;=VLOOKUP(M272,データ!$K$3:$O$6,2,TRUE)),VLOOKUP(M272,データ!$K$3:$O$6,4,TRUE),"")</f>
        <v>0.70833333333333337</v>
      </c>
      <c r="H272" s="256">
        <f>INDEX(データ!L$21:N$24,MATCH(配置表!E272,データ!K$21:K$24,0),MATCH(配置表!G272,データ!L$20:N$20,0))</f>
        <v>1</v>
      </c>
      <c r="I272" s="52" t="str">
        <f>IF(ISERROR(VLOOKUP(M272,データ!$A$3:$C$20,3,FALSE)),"",VLOOKUP(M272,データ!$A$3:$C$20,3,FALSE))</f>
        <v/>
      </c>
      <c r="J272" s="52" t="str">
        <f t="shared" si="288"/>
        <v/>
      </c>
      <c r="K272" s="53">
        <f>IF(K271=2,IF(I272=1,2,1),IF(I272=1,IF(J272=1,2,0),IF(J272=1,1,0)))</f>
        <v>0</v>
      </c>
      <c r="L272" s="28" t="str">
        <f t="shared" si="289"/>
        <v/>
      </c>
      <c r="M272" s="9">
        <f>M271+1</f>
        <v>45993</v>
      </c>
      <c r="N272" s="10" t="str">
        <f t="shared" si="290"/>
        <v>火</v>
      </c>
      <c r="O272" s="63" t="str">
        <f>IF(AND(M272&gt;=VLOOKUP(M272,データ!$E$3:$G$9,1,TRUE),M272&lt;=VLOOKUP(M272,データ!$E$3:$G$9,2,TRUE)),VLOOKUP(M272,データ!$E$3:$G$9,3,TRUE),"")</f>
        <v/>
      </c>
      <c r="P272" s="63" t="str">
        <f>IF(AND(M272&gt;=VLOOKUP(M272,データ!$E$14:$G$21,1,TRUE),M272&lt;=VLOOKUP(M272,データ!$E$14:$G$21,2,TRUE)),VLOOKUP(M272,データ!$E$14:$G$21,3,TRUE),"")</f>
        <v>テーマ展</v>
      </c>
      <c r="Q272" s="45" t="str">
        <f t="shared" si="291"/>
        <v>○</v>
      </c>
      <c r="R272" s="45"/>
      <c r="S272" s="33" t="str">
        <f t="shared" si="292"/>
        <v/>
      </c>
      <c r="T272" s="10"/>
      <c r="U272" s="10" t="str">
        <f t="shared" si="293"/>
        <v>●</v>
      </c>
      <c r="V272" s="32"/>
      <c r="W272" s="33" t="str">
        <f t="shared" si="294"/>
        <v/>
      </c>
      <c r="X272" s="32"/>
      <c r="Y272" s="33" t="str">
        <f t="shared" si="295"/>
        <v>○</v>
      </c>
      <c r="Z272" s="32">
        <f>IF(L272="閉","",(IF(AND(M272&gt;=VLOOKUP(M272,データ!$E$3:$G$9,1,TRUE),M272&lt;=VLOOKUP(M272,データ!$E$3:$G$9,2,TRUE)),VLOOKUP(M272,データ!$E$3:$H$9,4,TRUE),0)+IF(AND(M272&gt;=VLOOKUP(M272,データ!$E$14:$G$21,1,TRUE),M272&lt;=VLOOKUP(M272,データ!$E$14:$G$21,2,TRUE)),VLOOKUP(M272,データ!$E$14:$H$21,4,TRUE),0)))</f>
        <v>1</v>
      </c>
      <c r="AA272" s="33" t="str">
        <f t="shared" si="296"/>
        <v>△</v>
      </c>
      <c r="AB272" s="227">
        <f t="shared" si="297"/>
        <v>0.41666666666666669</v>
      </c>
      <c r="AC272" s="227">
        <f t="shared" si="298"/>
        <v>0.70833333333333337</v>
      </c>
      <c r="AD272" s="228" t="str">
        <f>IF(K272=1,IF(ISERROR(VLOOKUP(M272,データ!$A$3:$C$23,2,FALSE)),"",VLOOKUP(M272,データ!$A$3:$C$23,2,FALSE)),(IF(ISERROR(VLOOKUP(M272,データ!$A$3:$C$23,2,FALSE)),"",VLOOKUP(M272,データ!$A$3:$C$23,2,FALSE))))</f>
        <v/>
      </c>
    </row>
    <row r="273" spans="1:30">
      <c r="A273" s="1">
        <f>IF(AND(M273&gt;=VLOOKUP(M273,データ!$K$3:$O$6,1,TRUE),M273&lt;=VLOOKUP(M273,データ!$K$3:$O$6,2,TRUE)),VLOOKUP(M273,データ!$K$3:$O$6,5,TRUE),"")</f>
        <v>1</v>
      </c>
      <c r="B273" s="74">
        <f>IF(AND(M273&gt;=VLOOKUP(M273,データ!$K$3:$O$6,1,TRUE),M273&lt;=VLOOKUP(M273,データ!$K$3:$O$6,2,TRUE)),VLOOKUP(M273,データ!$K$3:$O$6,3,TRUE),"")</f>
        <v>0.41666666666666669</v>
      </c>
      <c r="C273" s="1">
        <f>IF(AND(M273&gt;=VLOOKUP(M273,データ!$K$11:$O$16,1,TRUE),M273&lt;=VLOOKUP(M273,データ!$K$11:$O$16,2,TRUE)),VLOOKUP(M273,データ!$K$11:$O$16,5,TRUE),0)</f>
        <v>0</v>
      </c>
      <c r="D273" s="74" t="str">
        <f>IF(AND(M273&gt;=VLOOKUP(M273,データ!$K$11:$O$16,1,TRUE),M273&lt;=VLOOKUP(M273,データ!$K$11:$O$16,2,TRUE)),VLOOKUP(M273,データ!$K$11:$O$16,3,TRUE),"")</f>
        <v/>
      </c>
      <c r="E273" s="74">
        <f t="shared" si="287"/>
        <v>0.41666666666666669</v>
      </c>
      <c r="F273" s="75">
        <f>VLOOKUP(E273,データ!$K$20:$O$24,5,FALSE)</f>
        <v>0</v>
      </c>
      <c r="G273" s="74">
        <f>IF(AND(M273&gt;=VLOOKUP(M273,データ!$K$3:$O$6,1,TRUE),M273&lt;=VLOOKUP(M273,データ!$K$3:$O$6,2,TRUE)),VLOOKUP(M273,データ!$K$3:$O$6,4,TRUE),"")</f>
        <v>0.70833333333333337</v>
      </c>
      <c r="H273" s="256">
        <f>INDEX(データ!L$21:N$24,MATCH(配置表!E273,データ!K$21:K$24,0),MATCH(配置表!G273,データ!L$20:N$20,0))</f>
        <v>1</v>
      </c>
      <c r="I273" s="52" t="str">
        <f>IF(ISERROR(VLOOKUP(M273,データ!$A$3:$C$20,3,FALSE)),"",VLOOKUP(M273,データ!$A$3:$C$20,3,FALSE))</f>
        <v/>
      </c>
      <c r="J273" s="52" t="str">
        <f t="shared" si="288"/>
        <v/>
      </c>
      <c r="K273" s="53">
        <f t="shared" ref="K273:K300" si="299">IF(K272=2,IF(I273=1,2,1),IF(I273=1,IF(J273=1,2,0),IF(J273=1,1,0)))</f>
        <v>0</v>
      </c>
      <c r="L273" s="28" t="str">
        <f t="shared" si="289"/>
        <v/>
      </c>
      <c r="M273" s="9">
        <f t="shared" ref="M273:M301" si="300">M272+1</f>
        <v>45994</v>
      </c>
      <c r="N273" s="10" t="str">
        <f t="shared" si="290"/>
        <v>水</v>
      </c>
      <c r="O273" s="63" t="str">
        <f>IF(AND(M273&gt;=VLOOKUP(M273,データ!$E$3:$G$9,1,TRUE),M273&lt;=VLOOKUP(M273,データ!$E$3:$G$9,2,TRUE)),VLOOKUP(M273,データ!$E$3:$G$9,3,TRUE),"")</f>
        <v/>
      </c>
      <c r="P273" s="63" t="str">
        <f>IF(AND(M273&gt;=VLOOKUP(M273,データ!$E$14:$G$21,1,TRUE),M273&lt;=VLOOKUP(M273,データ!$E$14:$G$21,2,TRUE)),VLOOKUP(M273,データ!$E$14:$G$21,3,TRUE),"")</f>
        <v>テーマ展</v>
      </c>
      <c r="Q273" s="45" t="str">
        <f t="shared" si="291"/>
        <v>○</v>
      </c>
      <c r="R273" s="45"/>
      <c r="S273" s="33" t="str">
        <f t="shared" si="292"/>
        <v/>
      </c>
      <c r="T273" s="10"/>
      <c r="U273" s="10" t="str">
        <f t="shared" si="293"/>
        <v>●</v>
      </c>
      <c r="V273" s="32"/>
      <c r="W273" s="33" t="str">
        <f t="shared" si="294"/>
        <v/>
      </c>
      <c r="X273" s="32"/>
      <c r="Y273" s="33" t="str">
        <f t="shared" si="295"/>
        <v>○</v>
      </c>
      <c r="Z273" s="32">
        <f>IF(L273="閉","",(IF(AND(M273&gt;=VLOOKUP(M273,データ!$E$3:$G$9,1,TRUE),M273&lt;=VLOOKUP(M273,データ!$E$3:$G$9,2,TRUE)),VLOOKUP(M273,データ!$E$3:$H$9,4,TRUE),0)+IF(AND(M273&gt;=VLOOKUP(M273,データ!$E$14:$G$21,1,TRUE),M273&lt;=VLOOKUP(M273,データ!$E$14:$G$21,2,TRUE)),VLOOKUP(M273,データ!$E$14:$H$21,4,TRUE),0)))</f>
        <v>1</v>
      </c>
      <c r="AA273" s="33" t="str">
        <f t="shared" si="296"/>
        <v>△</v>
      </c>
      <c r="AB273" s="227">
        <f t="shared" si="297"/>
        <v>0.41666666666666669</v>
      </c>
      <c r="AC273" s="227">
        <f t="shared" si="298"/>
        <v>0.70833333333333337</v>
      </c>
      <c r="AD273" s="228" t="str">
        <f>IF(K273=1,IF(ISERROR(VLOOKUP(M273,データ!$A$3:$C$23,2,FALSE)),"",VLOOKUP(M273,データ!$A$3:$C$23,2,FALSE)),(IF(ISERROR(VLOOKUP(M273,データ!$A$3:$C$23,2,FALSE)),"",VLOOKUP(M273,データ!$A$3:$C$23,2,FALSE))))</f>
        <v/>
      </c>
    </row>
    <row r="274" spans="1:30">
      <c r="A274" s="1">
        <f>IF(AND(M274&gt;=VLOOKUP(M274,データ!$K$3:$O$6,1,TRUE),M274&lt;=VLOOKUP(M274,データ!$K$3:$O$6,2,TRUE)),VLOOKUP(M274,データ!$K$3:$O$6,5,TRUE),"")</f>
        <v>1</v>
      </c>
      <c r="B274" s="74">
        <f>IF(AND(M274&gt;=VLOOKUP(M274,データ!$K$3:$O$6,1,TRUE),M274&lt;=VLOOKUP(M274,データ!$K$3:$O$6,2,TRUE)),VLOOKUP(M274,データ!$K$3:$O$6,3,TRUE),"")</f>
        <v>0.41666666666666669</v>
      </c>
      <c r="C274" s="1">
        <f>IF(AND(M274&gt;=VLOOKUP(M274,データ!$K$11:$O$16,1,TRUE),M274&lt;=VLOOKUP(M274,データ!$K$11:$O$16,2,TRUE)),VLOOKUP(M274,データ!$K$11:$O$16,5,TRUE),0)</f>
        <v>0</v>
      </c>
      <c r="D274" s="74" t="str">
        <f>IF(AND(M274&gt;=VLOOKUP(M274,データ!$K$11:$O$16,1,TRUE),M274&lt;=VLOOKUP(M274,データ!$K$11:$O$16,2,TRUE)),VLOOKUP(M274,データ!$K$11:$O$16,3,TRUE),"")</f>
        <v/>
      </c>
      <c r="E274" s="74">
        <f t="shared" si="287"/>
        <v>0.41666666666666669</v>
      </c>
      <c r="F274" s="75">
        <f>VLOOKUP(E274,データ!$K$20:$O$24,5,FALSE)</f>
        <v>0</v>
      </c>
      <c r="G274" s="74">
        <f>IF(AND(M274&gt;=VLOOKUP(M274,データ!$K$3:$O$6,1,TRUE),M274&lt;=VLOOKUP(M274,データ!$K$3:$O$6,2,TRUE)),VLOOKUP(M274,データ!$K$3:$O$6,4,TRUE),"")</f>
        <v>0.70833333333333337</v>
      </c>
      <c r="H274" s="256">
        <f>INDEX(データ!L$21:N$24,MATCH(配置表!E274,データ!K$21:K$24,0),MATCH(配置表!G274,データ!L$20:N$20,0))</f>
        <v>1</v>
      </c>
      <c r="I274" s="52" t="str">
        <f>IF(ISERROR(VLOOKUP(M274,データ!$A$3:$C$20,3,FALSE)),"",VLOOKUP(M274,データ!$A$3:$C$20,3,FALSE))</f>
        <v/>
      </c>
      <c r="J274" s="52" t="str">
        <f t="shared" si="288"/>
        <v/>
      </c>
      <c r="K274" s="53">
        <f t="shared" si="299"/>
        <v>0</v>
      </c>
      <c r="L274" s="28" t="str">
        <f t="shared" si="289"/>
        <v/>
      </c>
      <c r="M274" s="9">
        <f t="shared" si="300"/>
        <v>45995</v>
      </c>
      <c r="N274" s="10" t="str">
        <f t="shared" si="290"/>
        <v>木</v>
      </c>
      <c r="O274" s="63" t="str">
        <f>IF(AND(M274&gt;=VLOOKUP(M274,データ!$E$3:$G$9,1,TRUE),M274&lt;=VLOOKUP(M274,データ!$E$3:$G$9,2,TRUE)),VLOOKUP(M274,データ!$E$3:$G$9,3,TRUE),"")</f>
        <v/>
      </c>
      <c r="P274" s="63" t="str">
        <f>IF(AND(M274&gt;=VLOOKUP(M274,データ!$E$14:$G$21,1,TRUE),M274&lt;=VLOOKUP(M274,データ!$E$14:$G$21,2,TRUE)),VLOOKUP(M274,データ!$E$14:$G$21,3,TRUE),"")</f>
        <v>テーマ展</v>
      </c>
      <c r="Q274" s="45" t="str">
        <f t="shared" si="291"/>
        <v>○</v>
      </c>
      <c r="R274" s="45"/>
      <c r="S274" s="33" t="str">
        <f t="shared" si="292"/>
        <v/>
      </c>
      <c r="T274" s="10"/>
      <c r="U274" s="10" t="str">
        <f t="shared" si="293"/>
        <v>●</v>
      </c>
      <c r="V274" s="32"/>
      <c r="W274" s="33" t="str">
        <f t="shared" si="294"/>
        <v/>
      </c>
      <c r="X274" s="32"/>
      <c r="Y274" s="33" t="str">
        <f t="shared" si="295"/>
        <v>○</v>
      </c>
      <c r="Z274" s="32">
        <f>IF(L274="閉","",(IF(AND(M274&gt;=VLOOKUP(M274,データ!$E$3:$G$9,1,TRUE),M274&lt;=VLOOKUP(M274,データ!$E$3:$G$9,2,TRUE)),VLOOKUP(M274,データ!$E$3:$H$9,4,TRUE),0)+IF(AND(M274&gt;=VLOOKUP(M274,データ!$E$14:$G$21,1,TRUE),M274&lt;=VLOOKUP(M274,データ!$E$14:$G$21,2,TRUE)),VLOOKUP(M274,データ!$E$14:$H$21,4,TRUE),0)))</f>
        <v>1</v>
      </c>
      <c r="AA274" s="33" t="str">
        <f t="shared" si="296"/>
        <v>△</v>
      </c>
      <c r="AB274" s="227">
        <f t="shared" si="297"/>
        <v>0.41666666666666669</v>
      </c>
      <c r="AC274" s="227">
        <f t="shared" si="298"/>
        <v>0.70833333333333337</v>
      </c>
      <c r="AD274" s="228" t="str">
        <f>IF(K274=1,IF(ISERROR(VLOOKUP(M274,データ!$A$3:$C$23,2,FALSE)),"",VLOOKUP(M274,データ!$A$3:$C$23,2,FALSE)),(IF(ISERROR(VLOOKUP(M274,データ!$A$3:$C$23,2,FALSE)),"",VLOOKUP(M274,データ!$A$3:$C$23,2,FALSE))))</f>
        <v/>
      </c>
    </row>
    <row r="275" spans="1:30">
      <c r="A275" s="1">
        <f>IF(AND(M275&gt;=VLOOKUP(M275,データ!$K$3:$O$6,1,TRUE),M275&lt;=VLOOKUP(M275,データ!$K$3:$O$6,2,TRUE)),VLOOKUP(M275,データ!$K$3:$O$6,5,TRUE),"")</f>
        <v>1</v>
      </c>
      <c r="B275" s="74">
        <f>IF(AND(M275&gt;=VLOOKUP(M275,データ!$K$3:$O$6,1,TRUE),M275&lt;=VLOOKUP(M275,データ!$K$3:$O$6,2,TRUE)),VLOOKUP(M275,データ!$K$3:$O$6,3,TRUE),"")</f>
        <v>0.41666666666666669</v>
      </c>
      <c r="C275" s="1">
        <f>IF(AND(M275&gt;=VLOOKUP(M275,データ!$K$11:$O$16,1,TRUE),M275&lt;=VLOOKUP(M275,データ!$K$11:$O$16,2,TRUE)),VLOOKUP(M275,データ!$K$11:$O$16,5,TRUE),0)</f>
        <v>0</v>
      </c>
      <c r="D275" s="74" t="str">
        <f>IF(AND(M275&gt;=VLOOKUP(M275,データ!$K$11:$O$16,1,TRUE),M275&lt;=VLOOKUP(M275,データ!$K$11:$O$16,2,TRUE)),VLOOKUP(M275,データ!$K$11:$O$16,3,TRUE),"")</f>
        <v/>
      </c>
      <c r="E275" s="74">
        <f t="shared" si="287"/>
        <v>0.41666666666666669</v>
      </c>
      <c r="F275" s="75">
        <f>VLOOKUP(E275,データ!$K$20:$O$24,5,FALSE)</f>
        <v>0</v>
      </c>
      <c r="G275" s="74">
        <f>IF(AND(M275&gt;=VLOOKUP(M275,データ!$K$3:$O$6,1,TRUE),M275&lt;=VLOOKUP(M275,データ!$K$3:$O$6,2,TRUE)),VLOOKUP(M275,データ!$K$3:$O$6,4,TRUE),"")</f>
        <v>0.70833333333333337</v>
      </c>
      <c r="H275" s="256">
        <f>INDEX(データ!L$21:N$24,MATCH(配置表!E275,データ!K$21:K$24,0),MATCH(配置表!G275,データ!L$20:N$20,0))</f>
        <v>1</v>
      </c>
      <c r="I275" s="52" t="str">
        <f>IF(ISERROR(VLOOKUP(M275,データ!$A$3:$C$20,3,FALSE)),"",VLOOKUP(M275,データ!$A$3:$C$20,3,FALSE))</f>
        <v/>
      </c>
      <c r="J275" s="52" t="str">
        <f t="shared" si="288"/>
        <v/>
      </c>
      <c r="K275" s="53">
        <f t="shared" si="299"/>
        <v>0</v>
      </c>
      <c r="L275" s="28" t="str">
        <f t="shared" si="289"/>
        <v/>
      </c>
      <c r="M275" s="9">
        <f t="shared" si="300"/>
        <v>45996</v>
      </c>
      <c r="N275" s="10" t="str">
        <f t="shared" si="290"/>
        <v>金</v>
      </c>
      <c r="O275" s="63" t="str">
        <f>IF(AND(M275&gt;=VLOOKUP(M275,データ!$E$3:$G$9,1,TRUE),M275&lt;=VLOOKUP(M275,データ!$E$3:$G$9,2,TRUE)),VLOOKUP(M275,データ!$E$3:$G$9,3,TRUE),"")</f>
        <v/>
      </c>
      <c r="P275" s="63" t="str">
        <f>IF(AND(M275&gt;=VLOOKUP(M275,データ!$E$14:$G$21,1,TRUE),M275&lt;=VLOOKUP(M275,データ!$E$14:$G$21,2,TRUE)),VLOOKUP(M275,データ!$E$14:$G$21,3,TRUE),"")</f>
        <v>テーマ展</v>
      </c>
      <c r="Q275" s="45" t="str">
        <f t="shared" si="291"/>
        <v>○</v>
      </c>
      <c r="R275" s="45"/>
      <c r="S275" s="33" t="str">
        <f t="shared" si="292"/>
        <v/>
      </c>
      <c r="T275" s="10"/>
      <c r="U275" s="10" t="str">
        <f t="shared" si="293"/>
        <v>●</v>
      </c>
      <c r="V275" s="32"/>
      <c r="W275" s="33" t="str">
        <f t="shared" si="294"/>
        <v/>
      </c>
      <c r="X275" s="32"/>
      <c r="Y275" s="33" t="str">
        <f t="shared" si="295"/>
        <v>○</v>
      </c>
      <c r="Z275" s="32">
        <f>IF(L275="閉","",(IF(AND(M275&gt;=VLOOKUP(M275,データ!$E$3:$G$9,1,TRUE),M275&lt;=VLOOKUP(M275,データ!$E$3:$G$9,2,TRUE)),VLOOKUP(M275,データ!$E$3:$H$9,4,TRUE),0)+IF(AND(M275&gt;=VLOOKUP(M275,データ!$E$14:$G$21,1,TRUE),M275&lt;=VLOOKUP(M275,データ!$E$14:$G$21,2,TRUE)),VLOOKUP(M275,データ!$E$14:$H$21,4,TRUE),0)))</f>
        <v>1</v>
      </c>
      <c r="AA275" s="33" t="str">
        <f t="shared" si="296"/>
        <v>△</v>
      </c>
      <c r="AB275" s="227">
        <f t="shared" si="297"/>
        <v>0.41666666666666669</v>
      </c>
      <c r="AC275" s="227">
        <f t="shared" si="298"/>
        <v>0.70833333333333337</v>
      </c>
      <c r="AD275" s="228" t="str">
        <f>IF(K275=1,IF(ISERROR(VLOOKUP(M275,データ!$A$3:$C$23,2,FALSE)),"",VLOOKUP(M275,データ!$A$3:$C$23,2,FALSE)),(IF(ISERROR(VLOOKUP(M275,データ!$A$3:$C$23,2,FALSE)),"",VLOOKUP(M275,データ!$A$3:$C$23,2,FALSE))))</f>
        <v/>
      </c>
    </row>
    <row r="276" spans="1:30">
      <c r="A276" s="1">
        <f>IF(AND(M276&gt;=VLOOKUP(M276,データ!$K$3:$O$6,1,TRUE),M276&lt;=VLOOKUP(M276,データ!$K$3:$O$6,2,TRUE)),VLOOKUP(M276,データ!$K$3:$O$6,5,TRUE),"")</f>
        <v>1</v>
      </c>
      <c r="B276" s="74">
        <f>IF(AND(M276&gt;=VLOOKUP(M276,データ!$K$3:$O$6,1,TRUE),M276&lt;=VLOOKUP(M276,データ!$K$3:$O$6,2,TRUE)),VLOOKUP(M276,データ!$K$3:$O$6,3,TRUE),"")</f>
        <v>0.41666666666666669</v>
      </c>
      <c r="C276" s="1">
        <f>IF(AND(M276&gt;=VLOOKUP(M276,データ!$K$11:$O$16,1,TRUE),M276&lt;=VLOOKUP(M276,データ!$K$11:$O$16,2,TRUE)),VLOOKUP(M276,データ!$K$11:$O$16,5,TRUE),0)</f>
        <v>0</v>
      </c>
      <c r="D276" s="74" t="str">
        <f>IF(AND(M276&gt;=VLOOKUP(M276,データ!$K$11:$O$16,1,TRUE),M276&lt;=VLOOKUP(M276,データ!$K$11:$O$16,2,TRUE)),VLOOKUP(M276,データ!$K$11:$O$16,3,TRUE),"")</f>
        <v/>
      </c>
      <c r="E276" s="74">
        <f t="shared" si="287"/>
        <v>0.41666666666666669</v>
      </c>
      <c r="F276" s="75">
        <f>VLOOKUP(E276,データ!$K$20:$O$24,5,FALSE)</f>
        <v>0</v>
      </c>
      <c r="G276" s="74">
        <f>IF(AND(M276&gt;=VLOOKUP(M276,データ!$K$3:$O$6,1,TRUE),M276&lt;=VLOOKUP(M276,データ!$K$3:$O$6,2,TRUE)),VLOOKUP(M276,データ!$K$3:$O$6,4,TRUE),"")</f>
        <v>0.70833333333333337</v>
      </c>
      <c r="H276" s="256">
        <f>INDEX(データ!L$21:N$24,MATCH(配置表!E276,データ!K$21:K$24,0),MATCH(配置表!G276,データ!L$20:N$20,0))</f>
        <v>1</v>
      </c>
      <c r="I276" s="52" t="str">
        <f>IF(ISERROR(VLOOKUP(M276,データ!$A$3:$C$20,3,FALSE)),"",VLOOKUP(M276,データ!$A$3:$C$20,3,FALSE))</f>
        <v/>
      </c>
      <c r="J276" s="52" t="str">
        <f t="shared" si="288"/>
        <v/>
      </c>
      <c r="K276" s="53">
        <f t="shared" si="299"/>
        <v>0</v>
      </c>
      <c r="L276" s="28" t="str">
        <f t="shared" si="289"/>
        <v/>
      </c>
      <c r="M276" s="9">
        <f t="shared" si="300"/>
        <v>45997</v>
      </c>
      <c r="N276" s="10" t="str">
        <f t="shared" si="290"/>
        <v>土</v>
      </c>
      <c r="O276" s="63" t="str">
        <f>IF(AND(M276&gt;=VLOOKUP(M276,データ!$E$3:$G$9,1,TRUE),M276&lt;=VLOOKUP(M276,データ!$E$3:$G$9,2,TRUE)),VLOOKUP(M276,データ!$E$3:$G$9,3,TRUE),"")</f>
        <v>冬　特別展</v>
      </c>
      <c r="P276" s="63" t="str">
        <f>IF(AND(M276&gt;=VLOOKUP(M276,データ!$E$14:$G$21,1,TRUE),M276&lt;=VLOOKUP(M276,データ!$E$14:$G$21,2,TRUE)),VLOOKUP(M276,データ!$E$14:$G$21,3,TRUE),"")</f>
        <v>テーマ展</v>
      </c>
      <c r="Q276" s="45" t="str">
        <f t="shared" si="291"/>
        <v>○</v>
      </c>
      <c r="R276" s="45"/>
      <c r="S276" s="33" t="str">
        <f t="shared" ref="S276:S277" si="301">IF(H276="閉","休",IF(K276="","",IF(OR(J276="土",J276="日",E276=1),IF(OR(K276="ダミー　特別展",K276="ダミー　特別展"),"◎",IF(OR(K276="夏　特別展",K276="秋　特別展",K276="春　特別展"),"○","")),"")))</f>
        <v/>
      </c>
      <c r="T276" s="45"/>
      <c r="U276" s="33" t="str">
        <f t="shared" si="293"/>
        <v>●</v>
      </c>
      <c r="V276" s="32"/>
      <c r="W276" s="33" t="str">
        <f>IF(P276="閉","休",IF(O276="","",IF(O276="冬　特別展",IF(OR(N276="土",N276="日",M276=1),"◎",""),"○")))</f>
        <v>◎</v>
      </c>
      <c r="X276" s="32"/>
      <c r="Y276" s="33" t="str">
        <f t="shared" si="295"/>
        <v>○</v>
      </c>
      <c r="Z276" s="32">
        <f>IF(L276="閉","",(IF(AND(M276&gt;=VLOOKUP(M276,データ!$E$3:$G$9,1,TRUE),M276&lt;=VLOOKUP(M276,データ!$E$3:$G$9,2,TRUE)),VLOOKUP(M276,データ!$E$3:$H$9,4,TRUE),0)+IF(AND(M276&gt;=VLOOKUP(M276,データ!$E$14:$G$21,1,TRUE),M276&lt;=VLOOKUP(M276,データ!$E$14:$G$21,2,TRUE)),VLOOKUP(M276,データ!$E$14:$H$21,4,TRUE),0)))</f>
        <v>5</v>
      </c>
      <c r="AA276" s="33" t="str">
        <f t="shared" si="296"/>
        <v>○</v>
      </c>
      <c r="AB276" s="227">
        <f t="shared" si="297"/>
        <v>0.41666666666666669</v>
      </c>
      <c r="AC276" s="227">
        <f t="shared" si="298"/>
        <v>0.70833333333333337</v>
      </c>
      <c r="AD276" s="228" t="str">
        <f>IF(K276=1,IF(ISERROR(VLOOKUP(M276,データ!$A$3:$C$23,2,FALSE)),"",VLOOKUP(M276,データ!$A$3:$C$23,2,FALSE)),(IF(ISERROR(VLOOKUP(M276,データ!$A$3:$C$23,2,FALSE)),"",VLOOKUP(M276,データ!$A$3:$C$23,2,FALSE))))</f>
        <v/>
      </c>
    </row>
    <row r="277" spans="1:30">
      <c r="A277" s="1">
        <f>IF(AND(M277&gt;=VLOOKUP(M277,データ!$K$3:$O$6,1,TRUE),M277&lt;=VLOOKUP(M277,データ!$K$3:$O$6,2,TRUE)),VLOOKUP(M277,データ!$K$3:$O$6,5,TRUE),"")</f>
        <v>1</v>
      </c>
      <c r="B277" s="74">
        <f>IF(AND(M277&gt;=VLOOKUP(M277,データ!$K$3:$O$6,1,TRUE),M277&lt;=VLOOKUP(M277,データ!$K$3:$O$6,2,TRUE)),VLOOKUP(M277,データ!$K$3:$O$6,3,TRUE),"")</f>
        <v>0.41666666666666669</v>
      </c>
      <c r="C277" s="1">
        <f>IF(AND(M277&gt;=VLOOKUP(M277,データ!$K$11:$O$16,1,TRUE),M277&lt;=VLOOKUP(M277,データ!$K$11:$O$16,2,TRUE)),VLOOKUP(M277,データ!$K$11:$O$16,5,TRUE),0)</f>
        <v>0</v>
      </c>
      <c r="D277" s="74" t="str">
        <f>IF(AND(M277&gt;=VLOOKUP(M277,データ!$K$11:$O$16,1,TRUE),M277&lt;=VLOOKUP(M277,データ!$K$11:$O$16,2,TRUE)),VLOOKUP(M277,データ!$K$11:$O$16,3,TRUE),"")</f>
        <v/>
      </c>
      <c r="E277" s="74">
        <f t="shared" si="287"/>
        <v>0.41666666666666669</v>
      </c>
      <c r="F277" s="75">
        <f>VLOOKUP(E277,データ!$K$20:$O$24,5,FALSE)</f>
        <v>0</v>
      </c>
      <c r="G277" s="74">
        <f>IF(AND(M277&gt;=VLOOKUP(M277,データ!$K$3:$O$6,1,TRUE),M277&lt;=VLOOKUP(M277,データ!$K$3:$O$6,2,TRUE)),VLOOKUP(M277,データ!$K$3:$O$6,4,TRUE),"")</f>
        <v>0.70833333333333337</v>
      </c>
      <c r="H277" s="256">
        <f>INDEX(データ!L$21:N$24,MATCH(配置表!E277,データ!K$21:K$24,0),MATCH(配置表!G277,データ!L$20:N$20,0))</f>
        <v>1</v>
      </c>
      <c r="I277" s="52" t="str">
        <f>IF(ISERROR(VLOOKUP(M277,データ!$A$3:$C$20,3,FALSE)),"",VLOOKUP(M277,データ!$A$3:$C$20,3,FALSE))</f>
        <v/>
      </c>
      <c r="J277" s="52" t="str">
        <f t="shared" si="288"/>
        <v/>
      </c>
      <c r="K277" s="53">
        <f t="shared" si="299"/>
        <v>0</v>
      </c>
      <c r="L277" s="28" t="str">
        <f t="shared" si="289"/>
        <v/>
      </c>
      <c r="M277" s="9">
        <f t="shared" si="300"/>
        <v>45998</v>
      </c>
      <c r="N277" s="10" t="str">
        <f t="shared" si="290"/>
        <v>日</v>
      </c>
      <c r="O277" s="63" t="str">
        <f>IF(AND(M277&gt;=VLOOKUP(M277,データ!$E$3:$G$9,1,TRUE),M277&lt;=VLOOKUP(M277,データ!$E$3:$G$9,2,TRUE)),VLOOKUP(M277,データ!$E$3:$G$9,3,TRUE),"")</f>
        <v>冬　特別展</v>
      </c>
      <c r="P277" s="63" t="str">
        <f>IF(AND(M277&gt;=VLOOKUP(M277,データ!$E$14:$G$21,1,TRUE),M277&lt;=VLOOKUP(M277,データ!$E$14:$G$21,2,TRUE)),VLOOKUP(M277,データ!$E$14:$G$21,3,TRUE),"")</f>
        <v>テーマ展</v>
      </c>
      <c r="Q277" s="45" t="str">
        <f t="shared" si="291"/>
        <v>○</v>
      </c>
      <c r="R277" s="45"/>
      <c r="S277" s="33" t="str">
        <f t="shared" si="301"/>
        <v/>
      </c>
      <c r="T277" s="45"/>
      <c r="U277" s="33" t="str">
        <f t="shared" si="293"/>
        <v>●</v>
      </c>
      <c r="V277" s="32"/>
      <c r="W277" s="33" t="str">
        <f>IF(P277="閉","休",IF(O277="","",IF(O277="冬　特別展",IF(OR(N277="土",N277="日",M277=1),"◎",""),"○")))</f>
        <v>◎</v>
      </c>
      <c r="X277" s="32"/>
      <c r="Y277" s="33" t="str">
        <f t="shared" si="295"/>
        <v>○</v>
      </c>
      <c r="Z277" s="32">
        <f>IF(L277="閉","",(IF(AND(M277&gt;=VLOOKUP(M277,データ!$E$3:$G$9,1,TRUE),M277&lt;=VLOOKUP(M277,データ!$E$3:$G$9,2,TRUE)),VLOOKUP(M277,データ!$E$3:$H$9,4,TRUE),0)+IF(AND(M277&gt;=VLOOKUP(M277,データ!$E$14:$G$21,1,TRUE),M277&lt;=VLOOKUP(M277,データ!$E$14:$G$21,2,TRUE)),VLOOKUP(M277,データ!$E$14:$H$21,4,TRUE),0)))</f>
        <v>5</v>
      </c>
      <c r="AA277" s="33" t="str">
        <f t="shared" si="296"/>
        <v>○</v>
      </c>
      <c r="AB277" s="227">
        <f t="shared" si="297"/>
        <v>0.41666666666666669</v>
      </c>
      <c r="AC277" s="227">
        <f t="shared" si="298"/>
        <v>0.70833333333333337</v>
      </c>
      <c r="AD277" s="228" t="str">
        <f>IF(K277=1,IF(ISERROR(VLOOKUP(M277,データ!$A$3:$C$23,2,FALSE)),"",VLOOKUP(M277,データ!$A$3:$C$23,2,FALSE)),(IF(ISERROR(VLOOKUP(M277,データ!$A$3:$C$23,2,FALSE)),"",VLOOKUP(M277,データ!$A$3:$C$23,2,FALSE))))</f>
        <v/>
      </c>
    </row>
    <row r="278" spans="1:30">
      <c r="A278" s="1">
        <f>IF(AND(M278&gt;=VLOOKUP(M278,データ!$K$3:$O$6,1,TRUE),M278&lt;=VLOOKUP(M278,データ!$K$3:$O$6,2,TRUE)),VLOOKUP(M278,データ!$K$3:$O$6,5,TRUE),"")</f>
        <v>1</v>
      </c>
      <c r="B278" s="74">
        <f>IF(AND(M278&gt;=VLOOKUP(M278,データ!$K$3:$O$6,1,TRUE),M278&lt;=VLOOKUP(M278,データ!$K$3:$O$6,2,TRUE)),VLOOKUP(M278,データ!$K$3:$O$6,3,TRUE),"")</f>
        <v>0.41666666666666669</v>
      </c>
      <c r="C278" s="1">
        <f>IF(AND(M278&gt;=VLOOKUP(M278,データ!$K$11:$O$16,1,TRUE),M278&lt;=VLOOKUP(M278,データ!$K$11:$O$16,2,TRUE)),VLOOKUP(M278,データ!$K$11:$O$16,5,TRUE),0)</f>
        <v>0</v>
      </c>
      <c r="D278" s="74" t="str">
        <f>IF(AND(M278&gt;=VLOOKUP(M278,データ!$K$11:$O$16,1,TRUE),M278&lt;=VLOOKUP(M278,データ!$K$11:$O$16,2,TRUE)),VLOOKUP(M278,データ!$K$11:$O$16,3,TRUE),"")</f>
        <v/>
      </c>
      <c r="E278" s="74">
        <f t="shared" si="287"/>
        <v>0.41666666666666669</v>
      </c>
      <c r="F278" s="75">
        <f>VLOOKUP(E278,データ!$K$20:$O$24,5,FALSE)</f>
        <v>0</v>
      </c>
      <c r="G278" s="74">
        <f>IF(AND(M278&gt;=VLOOKUP(M278,データ!$K$3:$O$6,1,TRUE),M278&lt;=VLOOKUP(M278,データ!$K$3:$O$6,2,TRUE)),VLOOKUP(M278,データ!$K$3:$O$6,4,TRUE),"")</f>
        <v>0.70833333333333337</v>
      </c>
      <c r="H278" s="256">
        <f>INDEX(データ!L$21:N$24,MATCH(配置表!E278,データ!K$21:K$24,0),MATCH(配置表!G278,データ!L$20:N$20,0))</f>
        <v>1</v>
      </c>
      <c r="I278" s="52" t="str">
        <f>IF(ISERROR(VLOOKUP(M278,データ!$A$3:$C$20,3,FALSE)),"",VLOOKUP(M278,データ!$A$3:$C$20,3,FALSE))</f>
        <v/>
      </c>
      <c r="J278" s="52">
        <f t="shared" si="288"/>
        <v>1</v>
      </c>
      <c r="K278" s="53">
        <f t="shared" si="299"/>
        <v>1</v>
      </c>
      <c r="L278" s="28" t="str">
        <f t="shared" si="289"/>
        <v>閉</v>
      </c>
      <c r="M278" s="9">
        <f t="shared" si="300"/>
        <v>45999</v>
      </c>
      <c r="N278" s="10" t="str">
        <f t="shared" si="290"/>
        <v>月</v>
      </c>
      <c r="O278" s="63" t="str">
        <f>IF(AND(M278&gt;=VLOOKUP(M278,データ!$E$3:$G$9,1,TRUE),M278&lt;=VLOOKUP(M278,データ!$E$3:$G$9,2,TRUE)),VLOOKUP(M278,データ!$E$3:$G$9,3,TRUE),"")</f>
        <v>冬　特別展</v>
      </c>
      <c r="P278" s="63" t="str">
        <f>IF(AND(M278&gt;=VLOOKUP(M278,データ!$E$14:$G$21,1,TRUE),M278&lt;=VLOOKUP(M278,データ!$E$14:$G$21,2,TRUE)),VLOOKUP(M278,データ!$E$14:$G$21,3,TRUE),"")</f>
        <v>テーマ展</v>
      </c>
      <c r="Q278" s="44" t="str">
        <f t="shared" si="291"/>
        <v>休</v>
      </c>
      <c r="R278" s="32"/>
      <c r="S278" s="33" t="str">
        <f t="shared" si="292"/>
        <v>休</v>
      </c>
      <c r="T278" s="32"/>
      <c r="U278" s="33" t="str">
        <f t="shared" si="293"/>
        <v>休</v>
      </c>
      <c r="V278" s="32"/>
      <c r="W278" s="33" t="str">
        <f t="shared" si="294"/>
        <v>休</v>
      </c>
      <c r="X278" s="32"/>
      <c r="Y278" s="33" t="str">
        <f t="shared" si="295"/>
        <v>休</v>
      </c>
      <c r="Z278" s="32" t="str">
        <f>IF(L278="閉","",(IF(AND(M278&gt;=VLOOKUP(M278,データ!$E$3:$G$9,1,TRUE),M278&lt;=VLOOKUP(M278,データ!$E$3:$G$9,2,TRUE)),VLOOKUP(M278,データ!$E$3:$H$9,4,TRUE),0)+IF(AND(M278&gt;=VLOOKUP(M278,データ!$E$14:$G$21,1,TRUE),M278&lt;=VLOOKUP(M278,データ!$E$14:$G$21,2,TRUE)),VLOOKUP(M278,データ!$E$14:$H$21,4,TRUE),0)))</f>
        <v/>
      </c>
      <c r="AA278" s="33" t="str">
        <f t="shared" si="296"/>
        <v>休</v>
      </c>
      <c r="AB278" s="227" t="str">
        <f t="shared" si="297"/>
        <v/>
      </c>
      <c r="AC278" s="227" t="str">
        <f t="shared" si="298"/>
        <v/>
      </c>
      <c r="AD278" s="228" t="str">
        <f>IF(K278=1,IF(ISERROR(VLOOKUP(M278,データ!$A$3:$C$23,2,FALSE)),"",VLOOKUP(M278,データ!$A$3:$C$23,2,FALSE)),(IF(ISERROR(VLOOKUP(M278,データ!$A$3:$C$23,2,FALSE)),"",VLOOKUP(M278,データ!$A$3:$C$23,2,FALSE))))</f>
        <v/>
      </c>
    </row>
    <row r="279" spans="1:30">
      <c r="A279" s="1">
        <f>IF(AND(M279&gt;=VLOOKUP(M279,データ!$K$3:$O$6,1,TRUE),M279&lt;=VLOOKUP(M279,データ!$K$3:$O$6,2,TRUE)),VLOOKUP(M279,データ!$K$3:$O$6,5,TRUE),"")</f>
        <v>1</v>
      </c>
      <c r="B279" s="74">
        <f>IF(AND(M279&gt;=VLOOKUP(M279,データ!$K$3:$O$6,1,TRUE),M279&lt;=VLOOKUP(M279,データ!$K$3:$O$6,2,TRUE)),VLOOKUP(M279,データ!$K$3:$O$6,3,TRUE),"")</f>
        <v>0.41666666666666669</v>
      </c>
      <c r="C279" s="1">
        <f>IF(AND(M279&gt;=VLOOKUP(M279,データ!$K$11:$O$16,1,TRUE),M279&lt;=VLOOKUP(M279,データ!$K$11:$O$16,2,TRUE)),VLOOKUP(M279,データ!$K$11:$O$16,5,TRUE),0)</f>
        <v>0</v>
      </c>
      <c r="D279" s="74" t="str">
        <f>IF(AND(M279&gt;=VLOOKUP(M279,データ!$K$11:$O$16,1,TRUE),M279&lt;=VLOOKUP(M279,データ!$K$11:$O$16,2,TRUE)),VLOOKUP(M279,データ!$K$11:$O$16,3,TRUE),"")</f>
        <v/>
      </c>
      <c r="E279" s="74">
        <f t="shared" si="287"/>
        <v>0.41666666666666669</v>
      </c>
      <c r="F279" s="75">
        <f>VLOOKUP(E279,データ!$K$20:$O$24,5,FALSE)</f>
        <v>0</v>
      </c>
      <c r="G279" s="74">
        <f>IF(AND(M279&gt;=VLOOKUP(M279,データ!$K$3:$O$6,1,TRUE),M279&lt;=VLOOKUP(M279,データ!$K$3:$O$6,2,TRUE)),VLOOKUP(M279,データ!$K$3:$O$6,4,TRUE),"")</f>
        <v>0.70833333333333337</v>
      </c>
      <c r="H279" s="256">
        <f>INDEX(データ!L$21:N$24,MATCH(配置表!E279,データ!K$21:K$24,0),MATCH(配置表!G279,データ!L$20:N$20,0))</f>
        <v>1</v>
      </c>
      <c r="I279" s="52" t="str">
        <f>IF(ISERROR(VLOOKUP(M279,データ!$A$3:$C$20,3,FALSE)),"",VLOOKUP(M279,データ!$A$3:$C$20,3,FALSE))</f>
        <v/>
      </c>
      <c r="J279" s="52" t="str">
        <f t="shared" si="288"/>
        <v/>
      </c>
      <c r="K279" s="53">
        <f t="shared" si="299"/>
        <v>0</v>
      </c>
      <c r="L279" s="28" t="str">
        <f t="shared" si="289"/>
        <v/>
      </c>
      <c r="M279" s="9">
        <f t="shared" si="300"/>
        <v>46000</v>
      </c>
      <c r="N279" s="10" t="str">
        <f t="shared" si="290"/>
        <v>火</v>
      </c>
      <c r="O279" s="63" t="str">
        <f>IF(AND(M279&gt;=VLOOKUP(M279,データ!$E$3:$G$9,1,TRUE),M279&lt;=VLOOKUP(M279,データ!$E$3:$G$9,2,TRUE)),VLOOKUP(M279,データ!$E$3:$G$9,3,TRUE),"")</f>
        <v>冬　特別展</v>
      </c>
      <c r="P279" s="63" t="str">
        <f>IF(AND(M279&gt;=VLOOKUP(M279,データ!$E$14:$G$21,1,TRUE),M279&lt;=VLOOKUP(M279,データ!$E$14:$G$21,2,TRUE)),VLOOKUP(M279,データ!$E$14:$G$21,3,TRUE),"")</f>
        <v>テーマ展</v>
      </c>
      <c r="Q279" s="45" t="str">
        <f t="shared" si="291"/>
        <v>○</v>
      </c>
      <c r="R279" s="45"/>
      <c r="S279" s="33" t="str">
        <f t="shared" si="292"/>
        <v/>
      </c>
      <c r="T279" s="10"/>
      <c r="U279" s="10" t="str">
        <f t="shared" si="293"/>
        <v>●</v>
      </c>
      <c r="V279" s="32"/>
      <c r="W279" s="33" t="str">
        <f t="shared" si="294"/>
        <v/>
      </c>
      <c r="X279" s="32"/>
      <c r="Y279" s="33" t="str">
        <f t="shared" si="295"/>
        <v>○</v>
      </c>
      <c r="Z279" s="32">
        <f>IF(L279="閉","",(IF(AND(M279&gt;=VLOOKUP(M279,データ!$E$3:$G$9,1,TRUE),M279&lt;=VLOOKUP(M279,データ!$E$3:$G$9,2,TRUE)),VLOOKUP(M279,データ!$E$3:$H$9,4,TRUE),0)+IF(AND(M279&gt;=VLOOKUP(M279,データ!$E$14:$G$21,1,TRUE),M279&lt;=VLOOKUP(M279,データ!$E$14:$G$21,2,TRUE)),VLOOKUP(M279,データ!$E$14:$H$21,4,TRUE),0)))</f>
        <v>5</v>
      </c>
      <c r="AA279" s="33" t="str">
        <f t="shared" si="296"/>
        <v>○</v>
      </c>
      <c r="AB279" s="227">
        <f t="shared" si="297"/>
        <v>0.41666666666666669</v>
      </c>
      <c r="AC279" s="227">
        <f t="shared" si="298"/>
        <v>0.70833333333333337</v>
      </c>
      <c r="AD279" s="228" t="str">
        <f>IF(K279=1,IF(ISERROR(VLOOKUP(M279,データ!$A$3:$C$23,2,FALSE)),"",VLOOKUP(M279,データ!$A$3:$C$23,2,FALSE)),(IF(ISERROR(VLOOKUP(M279,データ!$A$3:$C$23,2,FALSE)),"",VLOOKUP(M279,データ!$A$3:$C$23,2,FALSE))))</f>
        <v/>
      </c>
    </row>
    <row r="280" spans="1:30">
      <c r="A280" s="1">
        <f>IF(AND(M280&gt;=VLOOKUP(M280,データ!$K$3:$O$6,1,TRUE),M280&lt;=VLOOKUP(M280,データ!$K$3:$O$6,2,TRUE)),VLOOKUP(M280,データ!$K$3:$O$6,5,TRUE),"")</f>
        <v>1</v>
      </c>
      <c r="B280" s="74">
        <f>IF(AND(M280&gt;=VLOOKUP(M280,データ!$K$3:$O$6,1,TRUE),M280&lt;=VLOOKUP(M280,データ!$K$3:$O$6,2,TRUE)),VLOOKUP(M280,データ!$K$3:$O$6,3,TRUE),"")</f>
        <v>0.41666666666666669</v>
      </c>
      <c r="C280" s="1">
        <f>IF(AND(M280&gt;=VLOOKUP(M280,データ!$K$11:$O$16,1,TRUE),M280&lt;=VLOOKUP(M280,データ!$K$11:$O$16,2,TRUE)),VLOOKUP(M280,データ!$K$11:$O$16,5,TRUE),0)</f>
        <v>0</v>
      </c>
      <c r="D280" s="74" t="str">
        <f>IF(AND(M280&gt;=VLOOKUP(M280,データ!$K$11:$O$16,1,TRUE),M280&lt;=VLOOKUP(M280,データ!$K$11:$O$16,2,TRUE)),VLOOKUP(M280,データ!$K$11:$O$16,3,TRUE),"")</f>
        <v/>
      </c>
      <c r="E280" s="74">
        <f t="shared" si="287"/>
        <v>0.41666666666666669</v>
      </c>
      <c r="F280" s="75">
        <f>VLOOKUP(E280,データ!$K$20:$O$24,5,FALSE)</f>
        <v>0</v>
      </c>
      <c r="G280" s="74">
        <f>IF(AND(M280&gt;=VLOOKUP(M280,データ!$K$3:$O$6,1,TRUE),M280&lt;=VLOOKUP(M280,データ!$K$3:$O$6,2,TRUE)),VLOOKUP(M280,データ!$K$3:$O$6,4,TRUE),"")</f>
        <v>0.70833333333333337</v>
      </c>
      <c r="H280" s="256">
        <f>INDEX(データ!L$21:N$24,MATCH(配置表!E280,データ!K$21:K$24,0),MATCH(配置表!G280,データ!L$20:N$20,0))</f>
        <v>1</v>
      </c>
      <c r="I280" s="52" t="str">
        <f>IF(ISERROR(VLOOKUP(M280,データ!$A$3:$C$20,3,FALSE)),"",VLOOKUP(M280,データ!$A$3:$C$20,3,FALSE))</f>
        <v/>
      </c>
      <c r="J280" s="52" t="str">
        <f t="shared" si="288"/>
        <v/>
      </c>
      <c r="K280" s="53">
        <f t="shared" si="299"/>
        <v>0</v>
      </c>
      <c r="L280" s="28" t="str">
        <f t="shared" si="289"/>
        <v/>
      </c>
      <c r="M280" s="9">
        <f t="shared" si="300"/>
        <v>46001</v>
      </c>
      <c r="N280" s="10" t="str">
        <f t="shared" si="290"/>
        <v>水</v>
      </c>
      <c r="O280" s="63" t="str">
        <f>IF(AND(M280&gt;=VLOOKUP(M280,データ!$E$3:$G$9,1,TRUE),M280&lt;=VLOOKUP(M280,データ!$E$3:$G$9,2,TRUE)),VLOOKUP(M280,データ!$E$3:$G$9,3,TRUE),"")</f>
        <v>冬　特別展</v>
      </c>
      <c r="P280" s="63" t="str">
        <f>IF(AND(M280&gt;=VLOOKUP(M280,データ!$E$14:$G$21,1,TRUE),M280&lt;=VLOOKUP(M280,データ!$E$14:$G$21,2,TRUE)),VLOOKUP(M280,データ!$E$14:$G$21,3,TRUE),"")</f>
        <v>テーマ展</v>
      </c>
      <c r="Q280" s="45" t="str">
        <f t="shared" si="291"/>
        <v>○</v>
      </c>
      <c r="R280" s="45"/>
      <c r="S280" s="33" t="str">
        <f t="shared" si="292"/>
        <v/>
      </c>
      <c r="T280" s="10"/>
      <c r="U280" s="10" t="str">
        <f t="shared" si="293"/>
        <v>●</v>
      </c>
      <c r="V280" s="32"/>
      <c r="W280" s="33" t="str">
        <f t="shared" si="294"/>
        <v/>
      </c>
      <c r="X280" s="32"/>
      <c r="Y280" s="33" t="str">
        <f t="shared" si="295"/>
        <v>○</v>
      </c>
      <c r="Z280" s="32">
        <f>IF(L280="閉","",(IF(AND(M280&gt;=VLOOKUP(M280,データ!$E$3:$G$9,1,TRUE),M280&lt;=VLOOKUP(M280,データ!$E$3:$G$9,2,TRUE)),VLOOKUP(M280,データ!$E$3:$H$9,4,TRUE),0)+IF(AND(M280&gt;=VLOOKUP(M280,データ!$E$14:$G$21,1,TRUE),M280&lt;=VLOOKUP(M280,データ!$E$14:$G$21,2,TRUE)),VLOOKUP(M280,データ!$E$14:$H$21,4,TRUE),0)))</f>
        <v>5</v>
      </c>
      <c r="AA280" s="33" t="str">
        <f t="shared" si="296"/>
        <v>○</v>
      </c>
      <c r="AB280" s="227">
        <f t="shared" si="297"/>
        <v>0.41666666666666669</v>
      </c>
      <c r="AC280" s="227">
        <f t="shared" si="298"/>
        <v>0.70833333333333337</v>
      </c>
      <c r="AD280" s="228" t="str">
        <f>IF(K280=1,IF(ISERROR(VLOOKUP(M280,データ!$A$3:$C$23,2,FALSE)),"",VLOOKUP(M280,データ!$A$3:$C$23,2,FALSE)),(IF(ISERROR(VLOOKUP(M280,データ!$A$3:$C$23,2,FALSE)),"",VLOOKUP(M280,データ!$A$3:$C$23,2,FALSE))))</f>
        <v/>
      </c>
    </row>
    <row r="281" spans="1:30">
      <c r="A281" s="1">
        <f>IF(AND(M281&gt;=VLOOKUP(M281,データ!$K$3:$O$6,1,TRUE),M281&lt;=VLOOKUP(M281,データ!$K$3:$O$6,2,TRUE)),VLOOKUP(M281,データ!$K$3:$O$6,5,TRUE),"")</f>
        <v>1</v>
      </c>
      <c r="B281" s="74">
        <f>IF(AND(M281&gt;=VLOOKUP(M281,データ!$K$3:$O$6,1,TRUE),M281&lt;=VLOOKUP(M281,データ!$K$3:$O$6,2,TRUE)),VLOOKUP(M281,データ!$K$3:$O$6,3,TRUE),"")</f>
        <v>0.41666666666666669</v>
      </c>
      <c r="C281" s="1">
        <f>IF(AND(M281&gt;=VLOOKUP(M281,データ!$K$11:$O$16,1,TRUE),M281&lt;=VLOOKUP(M281,データ!$K$11:$O$16,2,TRUE)),VLOOKUP(M281,データ!$K$11:$O$16,5,TRUE),0)</f>
        <v>0</v>
      </c>
      <c r="D281" s="74" t="str">
        <f>IF(AND(M281&gt;=VLOOKUP(M281,データ!$K$11:$O$16,1,TRUE),M281&lt;=VLOOKUP(M281,データ!$K$11:$O$16,2,TRUE)),VLOOKUP(M281,データ!$K$11:$O$16,3,TRUE),"")</f>
        <v/>
      </c>
      <c r="E281" s="74">
        <f t="shared" si="287"/>
        <v>0.41666666666666669</v>
      </c>
      <c r="F281" s="75">
        <f>VLOOKUP(E281,データ!$K$20:$O$24,5,FALSE)</f>
        <v>0</v>
      </c>
      <c r="G281" s="74">
        <f>IF(AND(M281&gt;=VLOOKUP(M281,データ!$K$3:$O$6,1,TRUE),M281&lt;=VLOOKUP(M281,データ!$K$3:$O$6,2,TRUE)),VLOOKUP(M281,データ!$K$3:$O$6,4,TRUE),"")</f>
        <v>0.70833333333333337</v>
      </c>
      <c r="H281" s="256">
        <f>INDEX(データ!L$21:N$24,MATCH(配置表!E281,データ!K$21:K$24,0),MATCH(配置表!G281,データ!L$20:N$20,0))</f>
        <v>1</v>
      </c>
      <c r="I281" s="52" t="str">
        <f>IF(ISERROR(VLOOKUP(M281,データ!$A$3:$C$20,3,FALSE)),"",VLOOKUP(M281,データ!$A$3:$C$20,3,FALSE))</f>
        <v/>
      </c>
      <c r="J281" s="52" t="str">
        <f t="shared" si="288"/>
        <v/>
      </c>
      <c r="K281" s="53">
        <f t="shared" si="299"/>
        <v>0</v>
      </c>
      <c r="L281" s="28" t="str">
        <f t="shared" si="289"/>
        <v/>
      </c>
      <c r="M281" s="9">
        <f t="shared" si="300"/>
        <v>46002</v>
      </c>
      <c r="N281" s="10" t="str">
        <f t="shared" si="290"/>
        <v>木</v>
      </c>
      <c r="O281" s="63" t="str">
        <f>IF(AND(M281&gt;=VLOOKUP(M281,データ!$E$3:$G$9,1,TRUE),M281&lt;=VLOOKUP(M281,データ!$E$3:$G$9,2,TRUE)),VLOOKUP(M281,データ!$E$3:$G$9,3,TRUE),"")</f>
        <v>冬　特別展</v>
      </c>
      <c r="P281" s="63" t="str">
        <f>IF(AND(M281&gt;=VLOOKUP(M281,データ!$E$14:$G$21,1,TRUE),M281&lt;=VLOOKUP(M281,データ!$E$14:$G$21,2,TRUE)),VLOOKUP(M281,データ!$E$14:$G$21,3,TRUE),"")</f>
        <v>テーマ展</v>
      </c>
      <c r="Q281" s="45" t="str">
        <f t="shared" si="291"/>
        <v>○</v>
      </c>
      <c r="R281" s="45"/>
      <c r="S281" s="33" t="str">
        <f t="shared" si="292"/>
        <v/>
      </c>
      <c r="T281" s="10"/>
      <c r="U281" s="10" t="str">
        <f t="shared" si="293"/>
        <v>●</v>
      </c>
      <c r="V281" s="32"/>
      <c r="W281" s="33" t="str">
        <f t="shared" si="294"/>
        <v/>
      </c>
      <c r="X281" s="32"/>
      <c r="Y281" s="33" t="str">
        <f t="shared" si="295"/>
        <v>○</v>
      </c>
      <c r="Z281" s="32">
        <f>IF(L281="閉","",(IF(AND(M281&gt;=VLOOKUP(M281,データ!$E$3:$G$9,1,TRUE),M281&lt;=VLOOKUP(M281,データ!$E$3:$G$9,2,TRUE)),VLOOKUP(M281,データ!$E$3:$H$9,4,TRUE),0)+IF(AND(M281&gt;=VLOOKUP(M281,データ!$E$14:$G$21,1,TRUE),M281&lt;=VLOOKUP(M281,データ!$E$14:$G$21,2,TRUE)),VLOOKUP(M281,データ!$E$14:$H$21,4,TRUE),0)))</f>
        <v>5</v>
      </c>
      <c r="AA281" s="33" t="str">
        <f t="shared" si="296"/>
        <v>○</v>
      </c>
      <c r="AB281" s="227">
        <f t="shared" si="297"/>
        <v>0.41666666666666669</v>
      </c>
      <c r="AC281" s="227">
        <f t="shared" si="298"/>
        <v>0.70833333333333337</v>
      </c>
      <c r="AD281" s="228" t="str">
        <f>IF(K281=1,IF(ISERROR(VLOOKUP(M281,データ!$A$3:$C$23,2,FALSE)),"",VLOOKUP(M281,データ!$A$3:$C$23,2,FALSE)),(IF(ISERROR(VLOOKUP(M281,データ!$A$3:$C$23,2,FALSE)),"",VLOOKUP(M281,データ!$A$3:$C$23,2,FALSE))))</f>
        <v/>
      </c>
    </row>
    <row r="282" spans="1:30">
      <c r="A282" s="1">
        <f>IF(AND(M282&gt;=VLOOKUP(M282,データ!$K$3:$O$6,1,TRUE),M282&lt;=VLOOKUP(M282,データ!$K$3:$O$6,2,TRUE)),VLOOKUP(M282,データ!$K$3:$O$6,5,TRUE),"")</f>
        <v>1</v>
      </c>
      <c r="B282" s="74">
        <f>IF(AND(M282&gt;=VLOOKUP(M282,データ!$K$3:$O$6,1,TRUE),M282&lt;=VLOOKUP(M282,データ!$K$3:$O$6,2,TRUE)),VLOOKUP(M282,データ!$K$3:$O$6,3,TRUE),"")</f>
        <v>0.41666666666666669</v>
      </c>
      <c r="C282" s="1">
        <f>IF(AND(M282&gt;=VLOOKUP(M282,データ!$K$11:$O$16,1,TRUE),M282&lt;=VLOOKUP(M282,データ!$K$11:$O$16,2,TRUE)),VLOOKUP(M282,データ!$K$11:$O$16,5,TRUE),0)</f>
        <v>0</v>
      </c>
      <c r="D282" s="74" t="str">
        <f>IF(AND(M282&gt;=VLOOKUP(M282,データ!$K$11:$O$16,1,TRUE),M282&lt;=VLOOKUP(M282,データ!$K$11:$O$16,2,TRUE)),VLOOKUP(M282,データ!$K$11:$O$16,3,TRUE),"")</f>
        <v/>
      </c>
      <c r="E282" s="74">
        <f t="shared" si="287"/>
        <v>0.41666666666666669</v>
      </c>
      <c r="F282" s="75">
        <f>VLOOKUP(E282,データ!$K$20:$O$24,5,FALSE)</f>
        <v>0</v>
      </c>
      <c r="G282" s="74">
        <f>IF(AND(M282&gt;=VLOOKUP(M282,データ!$K$3:$O$6,1,TRUE),M282&lt;=VLOOKUP(M282,データ!$K$3:$O$6,2,TRUE)),VLOOKUP(M282,データ!$K$3:$O$6,4,TRUE),"")</f>
        <v>0.70833333333333337</v>
      </c>
      <c r="H282" s="256">
        <f>INDEX(データ!L$21:N$24,MATCH(配置表!E282,データ!K$21:K$24,0),MATCH(配置表!G282,データ!L$20:N$20,0))</f>
        <v>1</v>
      </c>
      <c r="I282" s="52" t="str">
        <f>IF(ISERROR(VLOOKUP(M282,データ!$A$3:$C$20,3,FALSE)),"",VLOOKUP(M282,データ!$A$3:$C$20,3,FALSE))</f>
        <v/>
      </c>
      <c r="J282" s="52" t="str">
        <f t="shared" si="288"/>
        <v/>
      </c>
      <c r="K282" s="53">
        <f t="shared" si="299"/>
        <v>0</v>
      </c>
      <c r="L282" s="28" t="str">
        <f t="shared" si="289"/>
        <v/>
      </c>
      <c r="M282" s="9">
        <f t="shared" si="300"/>
        <v>46003</v>
      </c>
      <c r="N282" s="10" t="str">
        <f t="shared" si="290"/>
        <v>金</v>
      </c>
      <c r="O282" s="63" t="str">
        <f>IF(AND(M282&gt;=VLOOKUP(M282,データ!$E$3:$G$9,1,TRUE),M282&lt;=VLOOKUP(M282,データ!$E$3:$G$9,2,TRUE)),VLOOKUP(M282,データ!$E$3:$G$9,3,TRUE),"")</f>
        <v>冬　特別展</v>
      </c>
      <c r="P282" s="63" t="str">
        <f>IF(AND(M282&gt;=VLOOKUP(M282,データ!$E$14:$G$21,1,TRUE),M282&lt;=VLOOKUP(M282,データ!$E$14:$G$21,2,TRUE)),VLOOKUP(M282,データ!$E$14:$G$21,3,TRUE),"")</f>
        <v>テーマ展</v>
      </c>
      <c r="Q282" s="45" t="str">
        <f t="shared" si="291"/>
        <v>○</v>
      </c>
      <c r="R282" s="45"/>
      <c r="S282" s="33" t="str">
        <f t="shared" si="292"/>
        <v/>
      </c>
      <c r="T282" s="10"/>
      <c r="U282" s="10" t="str">
        <f t="shared" si="293"/>
        <v>●</v>
      </c>
      <c r="V282" s="32"/>
      <c r="W282" s="33" t="str">
        <f t="shared" si="294"/>
        <v/>
      </c>
      <c r="X282" s="32"/>
      <c r="Y282" s="33" t="str">
        <f t="shared" si="295"/>
        <v>○</v>
      </c>
      <c r="Z282" s="32">
        <f>IF(L282="閉","",(IF(AND(M282&gt;=VLOOKUP(M282,データ!$E$3:$G$9,1,TRUE),M282&lt;=VLOOKUP(M282,データ!$E$3:$G$9,2,TRUE)),VLOOKUP(M282,データ!$E$3:$H$9,4,TRUE),0)+IF(AND(M282&gt;=VLOOKUP(M282,データ!$E$14:$G$21,1,TRUE),M282&lt;=VLOOKUP(M282,データ!$E$14:$G$21,2,TRUE)),VLOOKUP(M282,データ!$E$14:$H$21,4,TRUE),0)))</f>
        <v>5</v>
      </c>
      <c r="AA282" s="33" t="str">
        <f t="shared" si="296"/>
        <v>○</v>
      </c>
      <c r="AB282" s="227">
        <f t="shared" si="297"/>
        <v>0.41666666666666669</v>
      </c>
      <c r="AC282" s="227">
        <f t="shared" si="298"/>
        <v>0.70833333333333337</v>
      </c>
      <c r="AD282" s="228" t="str">
        <f>IF(K282=1,IF(ISERROR(VLOOKUP(M282,データ!$A$3:$C$23,2,FALSE)),"",VLOOKUP(M282,データ!$A$3:$C$23,2,FALSE)),(IF(ISERROR(VLOOKUP(M282,データ!$A$3:$C$23,2,FALSE)),"",VLOOKUP(M282,データ!$A$3:$C$23,2,FALSE))))</f>
        <v/>
      </c>
    </row>
    <row r="283" spans="1:30">
      <c r="A283" s="1">
        <f>IF(AND(M283&gt;=VLOOKUP(M283,データ!$K$3:$O$6,1,TRUE),M283&lt;=VLOOKUP(M283,データ!$K$3:$O$6,2,TRUE)),VLOOKUP(M283,データ!$K$3:$O$6,5,TRUE),"")</f>
        <v>1</v>
      </c>
      <c r="B283" s="74">
        <f>IF(AND(M283&gt;=VLOOKUP(M283,データ!$K$3:$O$6,1,TRUE),M283&lt;=VLOOKUP(M283,データ!$K$3:$O$6,2,TRUE)),VLOOKUP(M283,データ!$K$3:$O$6,3,TRUE),"")</f>
        <v>0.41666666666666669</v>
      </c>
      <c r="C283" s="1">
        <f>IF(AND(M283&gt;=VLOOKUP(M283,データ!$K$11:$O$16,1,TRUE),M283&lt;=VLOOKUP(M283,データ!$K$11:$O$16,2,TRUE)),VLOOKUP(M283,データ!$K$11:$O$16,5,TRUE),0)</f>
        <v>0</v>
      </c>
      <c r="D283" s="74" t="str">
        <f>IF(AND(M283&gt;=VLOOKUP(M283,データ!$K$11:$O$16,1,TRUE),M283&lt;=VLOOKUP(M283,データ!$K$11:$O$16,2,TRUE)),VLOOKUP(M283,データ!$K$11:$O$16,3,TRUE),"")</f>
        <v/>
      </c>
      <c r="E283" s="74">
        <f t="shared" si="287"/>
        <v>0.41666666666666669</v>
      </c>
      <c r="F283" s="75">
        <f>VLOOKUP(E283,データ!$K$20:$O$24,5,FALSE)</f>
        <v>0</v>
      </c>
      <c r="G283" s="74">
        <f>IF(AND(M283&gt;=VLOOKUP(M283,データ!$K$3:$O$6,1,TRUE),M283&lt;=VLOOKUP(M283,データ!$K$3:$O$6,2,TRUE)),VLOOKUP(M283,データ!$K$3:$O$6,4,TRUE),"")</f>
        <v>0.70833333333333337</v>
      </c>
      <c r="H283" s="256">
        <f>INDEX(データ!L$21:N$24,MATCH(配置表!E283,データ!K$21:K$24,0),MATCH(配置表!G283,データ!L$20:N$20,0))</f>
        <v>1</v>
      </c>
      <c r="I283" s="52" t="str">
        <f>IF(ISERROR(VLOOKUP(M283,データ!$A$3:$C$20,3,FALSE)),"",VLOOKUP(M283,データ!$A$3:$C$20,3,FALSE))</f>
        <v/>
      </c>
      <c r="J283" s="52" t="str">
        <f t="shared" si="288"/>
        <v/>
      </c>
      <c r="K283" s="53">
        <f t="shared" si="299"/>
        <v>0</v>
      </c>
      <c r="L283" s="28" t="str">
        <f t="shared" si="289"/>
        <v/>
      </c>
      <c r="M283" s="9">
        <f t="shared" si="300"/>
        <v>46004</v>
      </c>
      <c r="N283" s="10" t="str">
        <f t="shared" si="290"/>
        <v>土</v>
      </c>
      <c r="O283" s="63" t="str">
        <f>IF(AND(M283&gt;=VLOOKUP(M283,データ!$E$3:$G$9,1,TRUE),M283&lt;=VLOOKUP(M283,データ!$E$3:$G$9,2,TRUE)),VLOOKUP(M283,データ!$E$3:$G$9,3,TRUE),"")</f>
        <v>冬　特別展</v>
      </c>
      <c r="P283" s="63" t="str">
        <f>IF(AND(M283&gt;=VLOOKUP(M283,データ!$E$14:$G$21,1,TRUE),M283&lt;=VLOOKUP(M283,データ!$E$14:$G$21,2,TRUE)),VLOOKUP(M283,データ!$E$14:$G$21,3,TRUE),"")</f>
        <v>テーマ展</v>
      </c>
      <c r="Q283" s="45" t="str">
        <f t="shared" si="291"/>
        <v>○</v>
      </c>
      <c r="R283" s="45"/>
      <c r="S283" s="33" t="str">
        <f t="shared" ref="S283:S284" si="302">IF(H283="閉","休",IF(K283="","",IF(OR(J283="土",J283="日",E283=1),IF(OR(K283="ダミー　特別展",K283="ダミー　特別展"),"◎",IF(OR(K283="夏　特別展",K283="秋　特別展",K283="春　特別展"),"○","")),"")))</f>
        <v/>
      </c>
      <c r="T283" s="45"/>
      <c r="U283" s="33" t="str">
        <f t="shared" ref="U283:U284" si="303">IF(L283="閉","休",IF(S283="","●","●"))</f>
        <v>●</v>
      </c>
      <c r="V283" s="32"/>
      <c r="W283" s="33" t="str">
        <f>IF(P283="閉","休",IF(O283="","",IF(O283="冬　特別展",IF(OR(N283="土",N283="日",M283=1),"◎",""),"○")))</f>
        <v>◎</v>
      </c>
      <c r="X283" s="32"/>
      <c r="Y283" s="33" t="str">
        <f t="shared" si="295"/>
        <v>○</v>
      </c>
      <c r="Z283" s="32">
        <f>IF(L283="閉","",(IF(AND(M283&gt;=VLOOKUP(M283,データ!$E$3:$G$9,1,TRUE),M283&lt;=VLOOKUP(M283,データ!$E$3:$G$9,2,TRUE)),VLOOKUP(M283,データ!$E$3:$H$9,4,TRUE),0)+IF(AND(M283&gt;=VLOOKUP(M283,データ!$E$14:$G$21,1,TRUE),M283&lt;=VLOOKUP(M283,データ!$E$14:$G$21,2,TRUE)),VLOOKUP(M283,データ!$E$14:$H$21,4,TRUE),0)))</f>
        <v>5</v>
      </c>
      <c r="AA283" s="33" t="str">
        <f t="shared" si="296"/>
        <v>○</v>
      </c>
      <c r="AB283" s="227">
        <f t="shared" si="297"/>
        <v>0.41666666666666669</v>
      </c>
      <c r="AC283" s="227">
        <f t="shared" si="298"/>
        <v>0.70833333333333337</v>
      </c>
      <c r="AD283" s="228" t="str">
        <f>IF(K283=1,IF(ISERROR(VLOOKUP(M283,データ!$A$3:$C$23,2,FALSE)),"",VLOOKUP(M283,データ!$A$3:$C$23,2,FALSE)),(IF(ISERROR(VLOOKUP(M283,データ!$A$3:$C$23,2,FALSE)),"",VLOOKUP(M283,データ!$A$3:$C$23,2,FALSE))))</f>
        <v/>
      </c>
    </row>
    <row r="284" spans="1:30">
      <c r="A284" s="1">
        <f>IF(AND(M284&gt;=VLOOKUP(M284,データ!$K$3:$O$6,1,TRUE),M284&lt;=VLOOKUP(M284,データ!$K$3:$O$6,2,TRUE)),VLOOKUP(M284,データ!$K$3:$O$6,5,TRUE),"")</f>
        <v>1</v>
      </c>
      <c r="B284" s="74">
        <f>IF(AND(M284&gt;=VLOOKUP(M284,データ!$K$3:$O$6,1,TRUE),M284&lt;=VLOOKUP(M284,データ!$K$3:$O$6,2,TRUE)),VLOOKUP(M284,データ!$K$3:$O$6,3,TRUE),"")</f>
        <v>0.41666666666666669</v>
      </c>
      <c r="C284" s="1">
        <f>IF(AND(M284&gt;=VLOOKUP(M284,データ!$K$11:$O$16,1,TRUE),M284&lt;=VLOOKUP(M284,データ!$K$11:$O$16,2,TRUE)),VLOOKUP(M284,データ!$K$11:$O$16,5,TRUE),0)</f>
        <v>0</v>
      </c>
      <c r="D284" s="74" t="str">
        <f>IF(AND(M284&gt;=VLOOKUP(M284,データ!$K$11:$O$16,1,TRUE),M284&lt;=VLOOKUP(M284,データ!$K$11:$O$16,2,TRUE)),VLOOKUP(M284,データ!$K$11:$O$16,3,TRUE),"")</f>
        <v/>
      </c>
      <c r="E284" s="74">
        <f t="shared" si="287"/>
        <v>0.41666666666666669</v>
      </c>
      <c r="F284" s="75">
        <f>VLOOKUP(E284,データ!$K$20:$O$24,5,FALSE)</f>
        <v>0</v>
      </c>
      <c r="G284" s="74">
        <f>IF(AND(M284&gt;=VLOOKUP(M284,データ!$K$3:$O$6,1,TRUE),M284&lt;=VLOOKUP(M284,データ!$K$3:$O$6,2,TRUE)),VLOOKUP(M284,データ!$K$3:$O$6,4,TRUE),"")</f>
        <v>0.70833333333333337</v>
      </c>
      <c r="H284" s="256">
        <f>INDEX(データ!L$21:N$24,MATCH(配置表!E284,データ!K$21:K$24,0),MATCH(配置表!G284,データ!L$20:N$20,0))</f>
        <v>1</v>
      </c>
      <c r="I284" s="52" t="str">
        <f>IF(ISERROR(VLOOKUP(M284,データ!$A$3:$C$20,3,FALSE)),"",VLOOKUP(M284,データ!$A$3:$C$20,3,FALSE))</f>
        <v/>
      </c>
      <c r="J284" s="52" t="str">
        <f t="shared" si="288"/>
        <v/>
      </c>
      <c r="K284" s="53">
        <f t="shared" si="299"/>
        <v>0</v>
      </c>
      <c r="L284" s="28" t="str">
        <f t="shared" si="289"/>
        <v/>
      </c>
      <c r="M284" s="9">
        <f t="shared" si="300"/>
        <v>46005</v>
      </c>
      <c r="N284" s="10" t="str">
        <f t="shared" si="290"/>
        <v>日</v>
      </c>
      <c r="O284" s="63" t="str">
        <f>IF(AND(M284&gt;=VLOOKUP(M284,データ!$E$3:$G$9,1,TRUE),M284&lt;=VLOOKUP(M284,データ!$E$3:$G$9,2,TRUE)),VLOOKUP(M284,データ!$E$3:$G$9,3,TRUE),"")</f>
        <v>冬　特別展</v>
      </c>
      <c r="P284" s="63" t="str">
        <f>IF(AND(M284&gt;=VLOOKUP(M284,データ!$E$14:$G$21,1,TRUE),M284&lt;=VLOOKUP(M284,データ!$E$14:$G$21,2,TRUE)),VLOOKUP(M284,データ!$E$14:$G$21,3,TRUE),"")</f>
        <v>テーマ展</v>
      </c>
      <c r="Q284" s="45" t="str">
        <f t="shared" si="291"/>
        <v>○</v>
      </c>
      <c r="R284" s="45"/>
      <c r="S284" s="33" t="str">
        <f t="shared" si="302"/>
        <v/>
      </c>
      <c r="T284" s="45"/>
      <c r="U284" s="33" t="str">
        <f t="shared" si="303"/>
        <v>●</v>
      </c>
      <c r="V284" s="32"/>
      <c r="W284" s="33" t="str">
        <f>IF(P284="閉","休",IF(O284="","",IF(O284="冬　特別展",IF(OR(N284="土",N284="日",M284=1),"◎",""),"○")))</f>
        <v>◎</v>
      </c>
      <c r="X284" s="32"/>
      <c r="Y284" s="33" t="str">
        <f t="shared" si="295"/>
        <v>○</v>
      </c>
      <c r="Z284" s="32">
        <f>IF(L284="閉","",(IF(AND(M284&gt;=VLOOKUP(M284,データ!$E$3:$G$9,1,TRUE),M284&lt;=VLOOKUP(M284,データ!$E$3:$G$9,2,TRUE)),VLOOKUP(M284,データ!$E$3:$H$9,4,TRUE),0)+IF(AND(M284&gt;=VLOOKUP(M284,データ!$E$14:$G$21,1,TRUE),M284&lt;=VLOOKUP(M284,データ!$E$14:$G$21,2,TRUE)),VLOOKUP(M284,データ!$E$14:$H$21,4,TRUE),0)))</f>
        <v>5</v>
      </c>
      <c r="AA284" s="33" t="str">
        <f t="shared" si="296"/>
        <v>○</v>
      </c>
      <c r="AB284" s="227">
        <f t="shared" si="297"/>
        <v>0.41666666666666669</v>
      </c>
      <c r="AC284" s="227">
        <f t="shared" si="298"/>
        <v>0.70833333333333337</v>
      </c>
      <c r="AD284" s="228" t="str">
        <f>IF(K284=1,IF(ISERROR(VLOOKUP(M284,データ!$A$3:$C$23,2,FALSE)),"",VLOOKUP(M284,データ!$A$3:$C$23,2,FALSE)),(IF(ISERROR(VLOOKUP(M284,データ!$A$3:$C$23,2,FALSE)),"",VLOOKUP(M284,データ!$A$3:$C$23,2,FALSE))))</f>
        <v/>
      </c>
    </row>
    <row r="285" spans="1:30">
      <c r="A285" s="1">
        <f>IF(AND(M285&gt;=VLOOKUP(M285,データ!$K$3:$O$6,1,TRUE),M285&lt;=VLOOKUP(M285,データ!$K$3:$O$6,2,TRUE)),VLOOKUP(M285,データ!$K$3:$O$6,5,TRUE),"")</f>
        <v>1</v>
      </c>
      <c r="B285" s="74">
        <f>IF(AND(M285&gt;=VLOOKUP(M285,データ!$K$3:$O$6,1,TRUE),M285&lt;=VLOOKUP(M285,データ!$K$3:$O$6,2,TRUE)),VLOOKUP(M285,データ!$K$3:$O$6,3,TRUE),"")</f>
        <v>0.41666666666666669</v>
      </c>
      <c r="C285" s="1">
        <f>IF(AND(M285&gt;=VLOOKUP(M285,データ!$K$11:$O$16,1,TRUE),M285&lt;=VLOOKUP(M285,データ!$K$11:$O$16,2,TRUE)),VLOOKUP(M285,データ!$K$11:$O$16,5,TRUE),0)</f>
        <v>0</v>
      </c>
      <c r="D285" s="74" t="str">
        <f>IF(AND(M285&gt;=VLOOKUP(M285,データ!$K$11:$O$16,1,TRUE),M285&lt;=VLOOKUP(M285,データ!$K$11:$O$16,2,TRUE)),VLOOKUP(M285,データ!$K$11:$O$16,3,TRUE),"")</f>
        <v/>
      </c>
      <c r="E285" s="74">
        <f t="shared" si="287"/>
        <v>0.41666666666666669</v>
      </c>
      <c r="F285" s="75">
        <f>VLOOKUP(E285,データ!$K$20:$O$24,5,FALSE)</f>
        <v>0</v>
      </c>
      <c r="G285" s="74">
        <f>IF(AND(M285&gt;=VLOOKUP(M285,データ!$K$3:$O$6,1,TRUE),M285&lt;=VLOOKUP(M285,データ!$K$3:$O$6,2,TRUE)),VLOOKUP(M285,データ!$K$3:$O$6,4,TRUE),"")</f>
        <v>0.70833333333333337</v>
      </c>
      <c r="H285" s="256">
        <f>INDEX(データ!L$21:N$24,MATCH(配置表!E285,データ!K$21:K$24,0),MATCH(配置表!G285,データ!L$20:N$20,0))</f>
        <v>1</v>
      </c>
      <c r="I285" s="52" t="str">
        <f>IF(ISERROR(VLOOKUP(M285,データ!$A$3:$C$20,3,FALSE)),"",VLOOKUP(M285,データ!$A$3:$C$20,3,FALSE))</f>
        <v/>
      </c>
      <c r="J285" s="52">
        <f t="shared" si="288"/>
        <v>1</v>
      </c>
      <c r="K285" s="53">
        <f t="shared" si="299"/>
        <v>1</v>
      </c>
      <c r="L285" s="28" t="str">
        <f t="shared" si="289"/>
        <v>閉</v>
      </c>
      <c r="M285" s="9">
        <f t="shared" si="300"/>
        <v>46006</v>
      </c>
      <c r="N285" s="10" t="str">
        <f t="shared" si="290"/>
        <v>月</v>
      </c>
      <c r="O285" s="63" t="str">
        <f>IF(AND(M285&gt;=VLOOKUP(M285,データ!$E$3:$G$9,1,TRUE),M285&lt;=VLOOKUP(M285,データ!$E$3:$G$9,2,TRUE)),VLOOKUP(M285,データ!$E$3:$G$9,3,TRUE),"")</f>
        <v>冬　特別展</v>
      </c>
      <c r="P285" s="63" t="str">
        <f>IF(AND(M285&gt;=VLOOKUP(M285,データ!$E$14:$G$21,1,TRUE),M285&lt;=VLOOKUP(M285,データ!$E$14:$G$21,2,TRUE)),VLOOKUP(M285,データ!$E$14:$G$21,3,TRUE),"")</f>
        <v>テーマ展</v>
      </c>
      <c r="Q285" s="44" t="str">
        <f t="shared" si="291"/>
        <v>休</v>
      </c>
      <c r="R285" s="32"/>
      <c r="S285" s="33" t="str">
        <f t="shared" si="292"/>
        <v>休</v>
      </c>
      <c r="T285" s="32"/>
      <c r="U285" s="33" t="str">
        <f t="shared" si="293"/>
        <v>休</v>
      </c>
      <c r="V285" s="32"/>
      <c r="W285" s="33" t="str">
        <f t="shared" si="294"/>
        <v>休</v>
      </c>
      <c r="X285" s="32"/>
      <c r="Y285" s="33" t="str">
        <f t="shared" si="295"/>
        <v>休</v>
      </c>
      <c r="Z285" s="32" t="str">
        <f>IF(L285="閉","",(IF(AND(M285&gt;=VLOOKUP(M285,データ!$E$3:$G$9,1,TRUE),M285&lt;=VLOOKUP(M285,データ!$E$3:$G$9,2,TRUE)),VLOOKUP(M285,データ!$E$3:$H$9,4,TRUE),0)+IF(AND(M285&gt;=VLOOKUP(M285,データ!$E$14:$G$21,1,TRUE),M285&lt;=VLOOKUP(M285,データ!$E$14:$G$21,2,TRUE)),VLOOKUP(M285,データ!$E$14:$H$21,4,TRUE),0)))</f>
        <v/>
      </c>
      <c r="AA285" s="33" t="str">
        <f t="shared" si="296"/>
        <v>休</v>
      </c>
      <c r="AB285" s="227" t="str">
        <f t="shared" si="297"/>
        <v/>
      </c>
      <c r="AC285" s="227" t="str">
        <f t="shared" si="298"/>
        <v/>
      </c>
      <c r="AD285" s="228" t="str">
        <f>IF(K285=1,IF(ISERROR(VLOOKUP(M285,データ!$A$3:$C$23,2,FALSE)),"",VLOOKUP(M285,データ!$A$3:$C$23,2,FALSE)),(IF(ISERROR(VLOOKUP(M285,データ!$A$3:$C$23,2,FALSE)),"",VLOOKUP(M285,データ!$A$3:$C$23,2,FALSE))))</f>
        <v/>
      </c>
    </row>
    <row r="286" spans="1:30">
      <c r="A286" s="1">
        <f>IF(AND(M286&gt;=VLOOKUP(M286,データ!$K$3:$O$6,1,TRUE),M286&lt;=VLOOKUP(M286,データ!$K$3:$O$6,2,TRUE)),VLOOKUP(M286,データ!$K$3:$O$6,5,TRUE),"")</f>
        <v>1</v>
      </c>
      <c r="B286" s="74">
        <f>IF(AND(M286&gt;=VLOOKUP(M286,データ!$K$3:$O$6,1,TRUE),M286&lt;=VLOOKUP(M286,データ!$K$3:$O$6,2,TRUE)),VLOOKUP(M286,データ!$K$3:$O$6,3,TRUE),"")</f>
        <v>0.41666666666666669</v>
      </c>
      <c r="C286" s="1">
        <f>IF(AND(M286&gt;=VLOOKUP(M286,データ!$K$11:$O$16,1,TRUE),M286&lt;=VLOOKUP(M286,データ!$K$11:$O$16,2,TRUE)),VLOOKUP(M286,データ!$K$11:$O$16,5,TRUE),0)</f>
        <v>0</v>
      </c>
      <c r="D286" s="74" t="str">
        <f>IF(AND(M286&gt;=VLOOKUP(M286,データ!$K$11:$O$16,1,TRUE),M286&lt;=VLOOKUP(M286,データ!$K$11:$O$16,2,TRUE)),VLOOKUP(M286,データ!$K$11:$O$16,3,TRUE),"")</f>
        <v/>
      </c>
      <c r="E286" s="74">
        <f t="shared" si="287"/>
        <v>0.41666666666666669</v>
      </c>
      <c r="F286" s="75">
        <f>VLOOKUP(E286,データ!$K$20:$O$24,5,FALSE)</f>
        <v>0</v>
      </c>
      <c r="G286" s="74">
        <f>IF(AND(M286&gt;=VLOOKUP(M286,データ!$K$3:$O$6,1,TRUE),M286&lt;=VLOOKUP(M286,データ!$K$3:$O$6,2,TRUE)),VLOOKUP(M286,データ!$K$3:$O$6,4,TRUE),"")</f>
        <v>0.70833333333333337</v>
      </c>
      <c r="H286" s="256">
        <f>INDEX(データ!L$21:N$24,MATCH(配置表!E286,データ!K$21:K$24,0),MATCH(配置表!G286,データ!L$20:N$20,0))</f>
        <v>1</v>
      </c>
      <c r="I286" s="52" t="str">
        <f>IF(ISERROR(VLOOKUP(M286,データ!$A$3:$C$20,3,FALSE)),"",VLOOKUP(M286,データ!$A$3:$C$20,3,FALSE))</f>
        <v/>
      </c>
      <c r="J286" s="52" t="str">
        <f t="shared" si="288"/>
        <v/>
      </c>
      <c r="K286" s="53">
        <f t="shared" si="299"/>
        <v>0</v>
      </c>
      <c r="L286" s="28" t="str">
        <f t="shared" si="289"/>
        <v/>
      </c>
      <c r="M286" s="9">
        <f t="shared" si="300"/>
        <v>46007</v>
      </c>
      <c r="N286" s="10" t="str">
        <f t="shared" si="290"/>
        <v>火</v>
      </c>
      <c r="O286" s="63" t="str">
        <f>IF(AND(M286&gt;=VLOOKUP(M286,データ!$E$3:$G$9,1,TRUE),M286&lt;=VLOOKUP(M286,データ!$E$3:$G$9,2,TRUE)),VLOOKUP(M286,データ!$E$3:$G$9,3,TRUE),"")</f>
        <v>冬　特別展</v>
      </c>
      <c r="P286" s="63" t="str">
        <f>IF(AND(M286&gt;=VLOOKUP(M286,データ!$E$14:$G$21,1,TRUE),M286&lt;=VLOOKUP(M286,データ!$E$14:$G$21,2,TRUE)),VLOOKUP(M286,データ!$E$14:$G$21,3,TRUE),"")</f>
        <v>テーマ展</v>
      </c>
      <c r="Q286" s="45" t="str">
        <f t="shared" si="291"/>
        <v>○</v>
      </c>
      <c r="R286" s="45"/>
      <c r="S286" s="33" t="str">
        <f t="shared" si="292"/>
        <v/>
      </c>
      <c r="T286" s="10"/>
      <c r="U286" s="10" t="str">
        <f t="shared" si="293"/>
        <v>●</v>
      </c>
      <c r="V286" s="32"/>
      <c r="W286" s="33" t="str">
        <f t="shared" si="294"/>
        <v/>
      </c>
      <c r="X286" s="32"/>
      <c r="Y286" s="33" t="str">
        <f t="shared" si="295"/>
        <v>○</v>
      </c>
      <c r="Z286" s="32">
        <f>IF(L286="閉","",(IF(AND(M286&gt;=VLOOKUP(M286,データ!$E$3:$G$9,1,TRUE),M286&lt;=VLOOKUP(M286,データ!$E$3:$G$9,2,TRUE)),VLOOKUP(M286,データ!$E$3:$H$9,4,TRUE),0)+IF(AND(M286&gt;=VLOOKUP(M286,データ!$E$14:$G$21,1,TRUE),M286&lt;=VLOOKUP(M286,データ!$E$14:$G$21,2,TRUE)),VLOOKUP(M286,データ!$E$14:$H$21,4,TRUE),0)))</f>
        <v>5</v>
      </c>
      <c r="AA286" s="33" t="str">
        <f t="shared" si="296"/>
        <v>○</v>
      </c>
      <c r="AB286" s="227">
        <f t="shared" si="297"/>
        <v>0.41666666666666669</v>
      </c>
      <c r="AC286" s="227">
        <f t="shared" si="298"/>
        <v>0.70833333333333337</v>
      </c>
      <c r="AD286" s="228" t="str">
        <f>IF(K286=1,IF(ISERROR(VLOOKUP(M286,データ!$A$3:$C$23,2,FALSE)),"",VLOOKUP(M286,データ!$A$3:$C$23,2,FALSE)),(IF(ISERROR(VLOOKUP(M286,データ!$A$3:$C$23,2,FALSE)),"",VLOOKUP(M286,データ!$A$3:$C$23,2,FALSE))))</f>
        <v/>
      </c>
    </row>
    <row r="287" spans="1:30">
      <c r="A287" s="1">
        <f>IF(AND(M287&gt;=VLOOKUP(M287,データ!$K$3:$O$6,1,TRUE),M287&lt;=VLOOKUP(M287,データ!$K$3:$O$6,2,TRUE)),VLOOKUP(M287,データ!$K$3:$O$6,5,TRUE),"")</f>
        <v>1</v>
      </c>
      <c r="B287" s="74">
        <f>IF(AND(M287&gt;=VLOOKUP(M287,データ!$K$3:$O$6,1,TRUE),M287&lt;=VLOOKUP(M287,データ!$K$3:$O$6,2,TRUE)),VLOOKUP(M287,データ!$K$3:$O$6,3,TRUE),"")</f>
        <v>0.41666666666666669</v>
      </c>
      <c r="C287" s="1">
        <f>IF(AND(M287&gt;=VLOOKUP(M287,データ!$K$11:$O$16,1,TRUE),M287&lt;=VLOOKUP(M287,データ!$K$11:$O$16,2,TRUE)),VLOOKUP(M287,データ!$K$11:$O$16,5,TRUE),0)</f>
        <v>0</v>
      </c>
      <c r="D287" s="74" t="str">
        <f>IF(AND(M287&gt;=VLOOKUP(M287,データ!$K$11:$O$16,1,TRUE),M287&lt;=VLOOKUP(M287,データ!$K$11:$O$16,2,TRUE)),VLOOKUP(M287,データ!$K$11:$O$16,3,TRUE),"")</f>
        <v/>
      </c>
      <c r="E287" s="74">
        <f t="shared" si="287"/>
        <v>0.41666666666666669</v>
      </c>
      <c r="F287" s="75">
        <f>VLOOKUP(E287,データ!$K$20:$O$24,5,FALSE)</f>
        <v>0</v>
      </c>
      <c r="G287" s="74">
        <f>IF(AND(M287&gt;=VLOOKUP(M287,データ!$K$3:$O$6,1,TRUE),M287&lt;=VLOOKUP(M287,データ!$K$3:$O$6,2,TRUE)),VLOOKUP(M287,データ!$K$3:$O$6,4,TRUE),"")</f>
        <v>0.70833333333333337</v>
      </c>
      <c r="H287" s="256">
        <f>INDEX(データ!L$21:N$24,MATCH(配置表!E287,データ!K$21:K$24,0),MATCH(配置表!G287,データ!L$20:N$20,0))</f>
        <v>1</v>
      </c>
      <c r="I287" s="52" t="str">
        <f>IF(ISERROR(VLOOKUP(M287,データ!$A$3:$C$20,3,FALSE)),"",VLOOKUP(M287,データ!$A$3:$C$20,3,FALSE))</f>
        <v/>
      </c>
      <c r="J287" s="52" t="str">
        <f t="shared" si="288"/>
        <v/>
      </c>
      <c r="K287" s="53">
        <f t="shared" si="299"/>
        <v>0</v>
      </c>
      <c r="L287" s="28" t="str">
        <f t="shared" si="289"/>
        <v/>
      </c>
      <c r="M287" s="9">
        <f t="shared" si="300"/>
        <v>46008</v>
      </c>
      <c r="N287" s="10" t="str">
        <f t="shared" si="290"/>
        <v>水</v>
      </c>
      <c r="O287" s="63" t="str">
        <f>IF(AND(M287&gt;=VLOOKUP(M287,データ!$E$3:$G$9,1,TRUE),M287&lt;=VLOOKUP(M287,データ!$E$3:$G$9,2,TRUE)),VLOOKUP(M287,データ!$E$3:$G$9,3,TRUE),"")</f>
        <v>冬　特別展</v>
      </c>
      <c r="P287" s="63" t="str">
        <f>IF(AND(M287&gt;=VLOOKUP(M287,データ!$E$14:$G$21,1,TRUE),M287&lt;=VLOOKUP(M287,データ!$E$14:$G$21,2,TRUE)),VLOOKUP(M287,データ!$E$14:$G$21,3,TRUE),"")</f>
        <v>テーマ展</v>
      </c>
      <c r="Q287" s="45" t="str">
        <f t="shared" si="291"/>
        <v>○</v>
      </c>
      <c r="R287" s="45"/>
      <c r="S287" s="33" t="str">
        <f t="shared" si="292"/>
        <v/>
      </c>
      <c r="T287" s="10"/>
      <c r="U287" s="10" t="str">
        <f t="shared" si="293"/>
        <v>●</v>
      </c>
      <c r="V287" s="32"/>
      <c r="W287" s="33" t="str">
        <f t="shared" si="294"/>
        <v/>
      </c>
      <c r="X287" s="32"/>
      <c r="Y287" s="33" t="str">
        <f t="shared" si="295"/>
        <v>○</v>
      </c>
      <c r="Z287" s="32">
        <f>IF(L287="閉","",(IF(AND(M287&gt;=VLOOKUP(M287,データ!$E$3:$G$9,1,TRUE),M287&lt;=VLOOKUP(M287,データ!$E$3:$G$9,2,TRUE)),VLOOKUP(M287,データ!$E$3:$H$9,4,TRUE),0)+IF(AND(M287&gt;=VLOOKUP(M287,データ!$E$14:$G$21,1,TRUE),M287&lt;=VLOOKUP(M287,データ!$E$14:$G$21,2,TRUE)),VLOOKUP(M287,データ!$E$14:$H$21,4,TRUE),0)))</f>
        <v>5</v>
      </c>
      <c r="AA287" s="33" t="str">
        <f t="shared" si="296"/>
        <v>○</v>
      </c>
      <c r="AB287" s="227">
        <f t="shared" si="297"/>
        <v>0.41666666666666669</v>
      </c>
      <c r="AC287" s="227">
        <f t="shared" si="298"/>
        <v>0.70833333333333337</v>
      </c>
      <c r="AD287" s="228" t="str">
        <f>IF(K287=1,IF(ISERROR(VLOOKUP(M287,データ!$A$3:$C$23,2,FALSE)),"",VLOOKUP(M287,データ!$A$3:$C$23,2,FALSE)),(IF(ISERROR(VLOOKUP(M287,データ!$A$3:$C$23,2,FALSE)),"",VLOOKUP(M287,データ!$A$3:$C$23,2,FALSE))))</f>
        <v/>
      </c>
    </row>
    <row r="288" spans="1:30">
      <c r="A288" s="1">
        <f>IF(AND(M288&gt;=VLOOKUP(M288,データ!$K$3:$O$6,1,TRUE),M288&lt;=VLOOKUP(M288,データ!$K$3:$O$6,2,TRUE)),VLOOKUP(M288,データ!$K$3:$O$6,5,TRUE),"")</f>
        <v>1</v>
      </c>
      <c r="B288" s="74">
        <f>IF(AND(M288&gt;=VLOOKUP(M288,データ!$K$3:$O$6,1,TRUE),M288&lt;=VLOOKUP(M288,データ!$K$3:$O$6,2,TRUE)),VLOOKUP(M288,データ!$K$3:$O$6,3,TRUE),"")</f>
        <v>0.41666666666666669</v>
      </c>
      <c r="C288" s="1">
        <f>IF(AND(M288&gt;=VLOOKUP(M288,データ!$K$11:$O$16,1,TRUE),M288&lt;=VLOOKUP(M288,データ!$K$11:$O$16,2,TRUE)),VLOOKUP(M288,データ!$K$11:$O$16,5,TRUE),0)</f>
        <v>0</v>
      </c>
      <c r="D288" s="74" t="str">
        <f>IF(AND(M288&gt;=VLOOKUP(M288,データ!$K$11:$O$16,1,TRUE),M288&lt;=VLOOKUP(M288,データ!$K$11:$O$16,2,TRUE)),VLOOKUP(M288,データ!$K$11:$O$16,3,TRUE),"")</f>
        <v/>
      </c>
      <c r="E288" s="74">
        <f t="shared" si="287"/>
        <v>0.41666666666666669</v>
      </c>
      <c r="F288" s="75">
        <f>VLOOKUP(E288,データ!$K$20:$O$24,5,FALSE)</f>
        <v>0</v>
      </c>
      <c r="G288" s="74">
        <f>IF(AND(M288&gt;=VLOOKUP(M288,データ!$K$3:$O$6,1,TRUE),M288&lt;=VLOOKUP(M288,データ!$K$3:$O$6,2,TRUE)),VLOOKUP(M288,データ!$K$3:$O$6,4,TRUE),"")</f>
        <v>0.70833333333333337</v>
      </c>
      <c r="H288" s="256">
        <f>INDEX(データ!L$21:N$24,MATCH(配置表!E288,データ!K$21:K$24,0),MATCH(配置表!G288,データ!L$20:N$20,0))</f>
        <v>1</v>
      </c>
      <c r="I288" s="52" t="str">
        <f>IF(ISERROR(VLOOKUP(M288,データ!$A$3:$C$20,3,FALSE)),"",VLOOKUP(M288,データ!$A$3:$C$20,3,FALSE))</f>
        <v/>
      </c>
      <c r="J288" s="52" t="str">
        <f t="shared" si="288"/>
        <v/>
      </c>
      <c r="K288" s="53">
        <f t="shared" si="299"/>
        <v>0</v>
      </c>
      <c r="L288" s="28" t="str">
        <f t="shared" si="289"/>
        <v/>
      </c>
      <c r="M288" s="9">
        <f t="shared" si="300"/>
        <v>46009</v>
      </c>
      <c r="N288" s="10" t="str">
        <f t="shared" si="290"/>
        <v>木</v>
      </c>
      <c r="O288" s="63" t="str">
        <f>IF(AND(M288&gt;=VLOOKUP(M288,データ!$E$3:$G$9,1,TRUE),M288&lt;=VLOOKUP(M288,データ!$E$3:$G$9,2,TRUE)),VLOOKUP(M288,データ!$E$3:$G$9,3,TRUE),"")</f>
        <v>冬　特別展</v>
      </c>
      <c r="P288" s="63" t="str">
        <f>IF(AND(M288&gt;=VLOOKUP(M288,データ!$E$14:$G$21,1,TRUE),M288&lt;=VLOOKUP(M288,データ!$E$14:$G$21,2,TRUE)),VLOOKUP(M288,データ!$E$14:$G$21,3,TRUE),"")</f>
        <v>テーマ展</v>
      </c>
      <c r="Q288" s="45" t="str">
        <f t="shared" si="291"/>
        <v>○</v>
      </c>
      <c r="R288" s="45"/>
      <c r="S288" s="33" t="str">
        <f t="shared" si="292"/>
        <v/>
      </c>
      <c r="T288" s="10"/>
      <c r="U288" s="10" t="str">
        <f t="shared" si="293"/>
        <v>●</v>
      </c>
      <c r="V288" s="32"/>
      <c r="W288" s="33" t="str">
        <f t="shared" si="294"/>
        <v/>
      </c>
      <c r="X288" s="32"/>
      <c r="Y288" s="33" t="str">
        <f t="shared" si="295"/>
        <v>○</v>
      </c>
      <c r="Z288" s="32">
        <f>IF(L288="閉","",(IF(AND(M288&gt;=VLOOKUP(M288,データ!$E$3:$G$9,1,TRUE),M288&lt;=VLOOKUP(M288,データ!$E$3:$G$9,2,TRUE)),VLOOKUP(M288,データ!$E$3:$H$9,4,TRUE),0)+IF(AND(M288&gt;=VLOOKUP(M288,データ!$E$14:$G$21,1,TRUE),M288&lt;=VLOOKUP(M288,データ!$E$14:$G$21,2,TRUE)),VLOOKUP(M288,データ!$E$14:$H$21,4,TRUE),0)))</f>
        <v>5</v>
      </c>
      <c r="AA288" s="33" t="str">
        <f t="shared" si="296"/>
        <v>○</v>
      </c>
      <c r="AB288" s="227">
        <f t="shared" si="297"/>
        <v>0.41666666666666669</v>
      </c>
      <c r="AC288" s="227">
        <f t="shared" si="298"/>
        <v>0.70833333333333337</v>
      </c>
      <c r="AD288" s="228" t="str">
        <f>IF(K288=1,IF(ISERROR(VLOOKUP(M288,データ!$A$3:$C$23,2,FALSE)),"",VLOOKUP(M288,データ!$A$3:$C$23,2,FALSE)),(IF(ISERROR(VLOOKUP(M288,データ!$A$3:$C$23,2,FALSE)),"",VLOOKUP(M288,データ!$A$3:$C$23,2,FALSE))))</f>
        <v/>
      </c>
    </row>
    <row r="289" spans="1:30">
      <c r="A289" s="1">
        <f>IF(AND(M289&gt;=VLOOKUP(M289,データ!$K$3:$O$6,1,TRUE),M289&lt;=VLOOKUP(M289,データ!$K$3:$O$6,2,TRUE)),VLOOKUP(M289,データ!$K$3:$O$6,5,TRUE),"")</f>
        <v>1</v>
      </c>
      <c r="B289" s="74">
        <f>IF(AND(M289&gt;=VLOOKUP(M289,データ!$K$3:$O$6,1,TRUE),M289&lt;=VLOOKUP(M289,データ!$K$3:$O$6,2,TRUE)),VLOOKUP(M289,データ!$K$3:$O$6,3,TRUE),"")</f>
        <v>0.41666666666666669</v>
      </c>
      <c r="C289" s="1">
        <f>IF(AND(M289&gt;=VLOOKUP(M289,データ!$K$11:$O$16,1,TRUE),M289&lt;=VLOOKUP(M289,データ!$K$11:$O$16,2,TRUE)),VLOOKUP(M289,データ!$K$11:$O$16,5,TRUE),0)</f>
        <v>0</v>
      </c>
      <c r="D289" s="74" t="str">
        <f>IF(AND(M289&gt;=VLOOKUP(M289,データ!$K$11:$O$16,1,TRUE),M289&lt;=VLOOKUP(M289,データ!$K$11:$O$16,2,TRUE)),VLOOKUP(M289,データ!$K$11:$O$16,3,TRUE),"")</f>
        <v/>
      </c>
      <c r="E289" s="74">
        <f t="shared" si="287"/>
        <v>0.41666666666666669</v>
      </c>
      <c r="F289" s="75">
        <f>VLOOKUP(E289,データ!$K$20:$O$24,5,FALSE)</f>
        <v>0</v>
      </c>
      <c r="G289" s="74">
        <f>IF(AND(M289&gt;=VLOOKUP(M289,データ!$K$3:$O$6,1,TRUE),M289&lt;=VLOOKUP(M289,データ!$K$3:$O$6,2,TRUE)),VLOOKUP(M289,データ!$K$3:$O$6,4,TRUE),"")</f>
        <v>0.70833333333333337</v>
      </c>
      <c r="H289" s="256">
        <f>INDEX(データ!L$21:N$24,MATCH(配置表!E289,データ!K$21:K$24,0),MATCH(配置表!G289,データ!L$20:N$20,0))</f>
        <v>1</v>
      </c>
      <c r="I289" s="52" t="str">
        <f>IF(ISERROR(VLOOKUP(M289,データ!$A$3:$C$20,3,FALSE)),"",VLOOKUP(M289,データ!$A$3:$C$20,3,FALSE))</f>
        <v/>
      </c>
      <c r="J289" s="52" t="str">
        <f t="shared" si="288"/>
        <v/>
      </c>
      <c r="K289" s="53">
        <f t="shared" si="299"/>
        <v>0</v>
      </c>
      <c r="L289" s="28" t="str">
        <f t="shared" si="289"/>
        <v/>
      </c>
      <c r="M289" s="9">
        <f t="shared" si="300"/>
        <v>46010</v>
      </c>
      <c r="N289" s="10" t="str">
        <f t="shared" si="290"/>
        <v>金</v>
      </c>
      <c r="O289" s="63" t="str">
        <f>IF(AND(M289&gt;=VLOOKUP(M289,データ!$E$3:$G$9,1,TRUE),M289&lt;=VLOOKUP(M289,データ!$E$3:$G$9,2,TRUE)),VLOOKUP(M289,データ!$E$3:$G$9,3,TRUE),"")</f>
        <v>冬　特別展</v>
      </c>
      <c r="P289" s="63" t="str">
        <f>IF(AND(M289&gt;=VLOOKUP(M289,データ!$E$14:$G$21,1,TRUE),M289&lt;=VLOOKUP(M289,データ!$E$14:$G$21,2,TRUE)),VLOOKUP(M289,データ!$E$14:$G$21,3,TRUE),"")</f>
        <v>テーマ展</v>
      </c>
      <c r="Q289" s="45" t="str">
        <f t="shared" si="291"/>
        <v>○</v>
      </c>
      <c r="R289" s="45"/>
      <c r="S289" s="33" t="str">
        <f t="shared" si="292"/>
        <v/>
      </c>
      <c r="T289" s="10"/>
      <c r="U289" s="10" t="str">
        <f t="shared" si="293"/>
        <v>●</v>
      </c>
      <c r="V289" s="32"/>
      <c r="W289" s="33" t="str">
        <f t="shared" si="294"/>
        <v/>
      </c>
      <c r="X289" s="32"/>
      <c r="Y289" s="33" t="str">
        <f t="shared" si="295"/>
        <v>○</v>
      </c>
      <c r="Z289" s="32">
        <f>IF(L289="閉","",(IF(AND(M289&gt;=VLOOKUP(M289,データ!$E$3:$G$9,1,TRUE),M289&lt;=VLOOKUP(M289,データ!$E$3:$G$9,2,TRUE)),VLOOKUP(M289,データ!$E$3:$H$9,4,TRUE),0)+IF(AND(M289&gt;=VLOOKUP(M289,データ!$E$14:$G$21,1,TRUE),M289&lt;=VLOOKUP(M289,データ!$E$14:$G$21,2,TRUE)),VLOOKUP(M289,データ!$E$14:$H$21,4,TRUE),0)))</f>
        <v>5</v>
      </c>
      <c r="AA289" s="33" t="str">
        <f t="shared" si="296"/>
        <v>○</v>
      </c>
      <c r="AB289" s="227">
        <f t="shared" si="297"/>
        <v>0.41666666666666669</v>
      </c>
      <c r="AC289" s="227">
        <f t="shared" si="298"/>
        <v>0.70833333333333337</v>
      </c>
      <c r="AD289" s="228" t="str">
        <f>IF(K289=1,IF(ISERROR(VLOOKUP(M289,データ!$A$3:$C$23,2,FALSE)),"",VLOOKUP(M289,データ!$A$3:$C$23,2,FALSE)),(IF(ISERROR(VLOOKUP(M289,データ!$A$3:$C$23,2,FALSE)),"",VLOOKUP(M289,データ!$A$3:$C$23,2,FALSE))))</f>
        <v/>
      </c>
    </row>
    <row r="290" spans="1:30">
      <c r="A290" s="1">
        <f>IF(AND(M290&gt;=VLOOKUP(M290,データ!$K$3:$O$6,1,TRUE),M290&lt;=VLOOKUP(M290,データ!$K$3:$O$6,2,TRUE)),VLOOKUP(M290,データ!$K$3:$O$6,5,TRUE),"")</f>
        <v>1</v>
      </c>
      <c r="B290" s="74">
        <f>IF(AND(M290&gt;=VLOOKUP(M290,データ!$K$3:$O$6,1,TRUE),M290&lt;=VLOOKUP(M290,データ!$K$3:$O$6,2,TRUE)),VLOOKUP(M290,データ!$K$3:$O$6,3,TRUE),"")</f>
        <v>0.41666666666666669</v>
      </c>
      <c r="C290" s="1">
        <f>IF(AND(M290&gt;=VLOOKUP(M290,データ!$K$11:$O$16,1,TRUE),M290&lt;=VLOOKUP(M290,データ!$K$11:$O$16,2,TRUE)),VLOOKUP(M290,データ!$K$11:$O$16,5,TRUE),0)</f>
        <v>0</v>
      </c>
      <c r="D290" s="74" t="str">
        <f>IF(AND(M290&gt;=VLOOKUP(M290,データ!$K$11:$O$16,1,TRUE),M290&lt;=VLOOKUP(M290,データ!$K$11:$O$16,2,TRUE)),VLOOKUP(M290,データ!$K$11:$O$16,3,TRUE),"")</f>
        <v/>
      </c>
      <c r="E290" s="74">
        <f t="shared" si="287"/>
        <v>0.41666666666666669</v>
      </c>
      <c r="F290" s="75">
        <f>VLOOKUP(E290,データ!$K$20:$O$24,5,FALSE)</f>
        <v>0</v>
      </c>
      <c r="G290" s="74">
        <f>IF(AND(M290&gt;=VLOOKUP(M290,データ!$K$3:$O$6,1,TRUE),M290&lt;=VLOOKUP(M290,データ!$K$3:$O$6,2,TRUE)),VLOOKUP(M290,データ!$K$3:$O$6,4,TRUE),"")</f>
        <v>0.70833333333333337</v>
      </c>
      <c r="H290" s="256">
        <f>INDEX(データ!L$21:N$24,MATCH(配置表!E290,データ!K$21:K$24,0),MATCH(配置表!G290,データ!L$20:N$20,0))</f>
        <v>1</v>
      </c>
      <c r="I290" s="52" t="str">
        <f>IF(ISERROR(VLOOKUP(M290,データ!$A$3:$C$20,3,FALSE)),"",VLOOKUP(M290,データ!$A$3:$C$20,3,FALSE))</f>
        <v/>
      </c>
      <c r="J290" s="52" t="str">
        <f t="shared" si="288"/>
        <v/>
      </c>
      <c r="K290" s="53">
        <f t="shared" si="299"/>
        <v>0</v>
      </c>
      <c r="L290" s="28" t="str">
        <f t="shared" si="289"/>
        <v/>
      </c>
      <c r="M290" s="9">
        <f t="shared" si="300"/>
        <v>46011</v>
      </c>
      <c r="N290" s="10" t="str">
        <f t="shared" si="290"/>
        <v>土</v>
      </c>
      <c r="O290" s="63" t="str">
        <f>IF(AND(M290&gt;=VLOOKUP(M290,データ!$E$3:$G$9,1,TRUE),M290&lt;=VLOOKUP(M290,データ!$E$3:$G$9,2,TRUE)),VLOOKUP(M290,データ!$E$3:$G$9,3,TRUE),"")</f>
        <v>冬　特別展</v>
      </c>
      <c r="P290" s="63" t="str">
        <f>IF(AND(M290&gt;=VLOOKUP(M290,データ!$E$14:$G$21,1,TRUE),M290&lt;=VLOOKUP(M290,データ!$E$14:$G$21,2,TRUE)),VLOOKUP(M290,データ!$E$14:$G$21,3,TRUE),"")</f>
        <v>テーマ展</v>
      </c>
      <c r="Q290" s="45" t="str">
        <f t="shared" si="291"/>
        <v>○</v>
      </c>
      <c r="R290" s="45"/>
      <c r="S290" s="33" t="str">
        <f t="shared" ref="S290:S291" si="304">IF(H290="閉","休",IF(K290="","",IF(OR(J290="土",J290="日",E290=1),IF(OR(K290="ダミー　特別展",K290="ダミー　特別展"),"◎",IF(OR(K290="夏　特別展",K290="秋　特別展",K290="春　特別展"),"○","")),"")))</f>
        <v/>
      </c>
      <c r="T290" s="45"/>
      <c r="U290" s="33" t="str">
        <f t="shared" si="293"/>
        <v>●</v>
      </c>
      <c r="V290" s="32"/>
      <c r="W290" s="33" t="str">
        <f>IF(P290="閉","休",IF(O290="","",IF(O290="冬　特別展",IF(OR(N290="土",N290="日",M290=1),"◎",""),"○")))</f>
        <v>◎</v>
      </c>
      <c r="X290" s="32"/>
      <c r="Y290" s="33" t="str">
        <f t="shared" si="295"/>
        <v>○</v>
      </c>
      <c r="Z290" s="32">
        <f>IF(L290="閉","",(IF(AND(M290&gt;=VLOOKUP(M290,データ!$E$3:$G$9,1,TRUE),M290&lt;=VLOOKUP(M290,データ!$E$3:$G$9,2,TRUE)),VLOOKUP(M290,データ!$E$3:$H$9,4,TRUE),0)+IF(AND(M290&gt;=VLOOKUP(M290,データ!$E$14:$G$21,1,TRUE),M290&lt;=VLOOKUP(M290,データ!$E$14:$G$21,2,TRUE)),VLOOKUP(M290,データ!$E$14:$H$21,4,TRUE),0)))</f>
        <v>5</v>
      </c>
      <c r="AA290" s="33" t="str">
        <f t="shared" si="296"/>
        <v>○</v>
      </c>
      <c r="AB290" s="227">
        <f t="shared" si="297"/>
        <v>0.41666666666666669</v>
      </c>
      <c r="AC290" s="227">
        <f t="shared" si="298"/>
        <v>0.70833333333333337</v>
      </c>
      <c r="AD290" s="228" t="str">
        <f>IF(K290=1,IF(ISERROR(VLOOKUP(M290,データ!$A$3:$C$23,2,FALSE)),"",VLOOKUP(M290,データ!$A$3:$C$23,2,FALSE)),(IF(ISERROR(VLOOKUP(M290,データ!$A$3:$C$23,2,FALSE)),"",VLOOKUP(M290,データ!$A$3:$C$23,2,FALSE))))</f>
        <v/>
      </c>
    </row>
    <row r="291" spans="1:30">
      <c r="A291" s="1">
        <f>IF(AND(M291&gt;=VLOOKUP(M291,データ!$K$3:$O$6,1,TRUE),M291&lt;=VLOOKUP(M291,データ!$K$3:$O$6,2,TRUE)),VLOOKUP(M291,データ!$K$3:$O$6,5,TRUE),"")</f>
        <v>1</v>
      </c>
      <c r="B291" s="74">
        <f>IF(AND(M291&gt;=VLOOKUP(M291,データ!$K$3:$O$6,1,TRUE),M291&lt;=VLOOKUP(M291,データ!$K$3:$O$6,2,TRUE)),VLOOKUP(M291,データ!$K$3:$O$6,3,TRUE),"")</f>
        <v>0.41666666666666669</v>
      </c>
      <c r="C291" s="1">
        <f>IF(AND(M291&gt;=VLOOKUP(M291,データ!$K$11:$O$16,1,TRUE),M291&lt;=VLOOKUP(M291,データ!$K$11:$O$16,2,TRUE)),VLOOKUP(M291,データ!$K$11:$O$16,5,TRUE),0)</f>
        <v>0</v>
      </c>
      <c r="D291" s="74" t="str">
        <f>IF(AND(M291&gt;=VLOOKUP(M291,データ!$K$11:$O$16,1,TRUE),M291&lt;=VLOOKUP(M291,データ!$K$11:$O$16,2,TRUE)),VLOOKUP(M291,データ!$K$11:$O$16,3,TRUE),"")</f>
        <v/>
      </c>
      <c r="E291" s="74">
        <f t="shared" si="287"/>
        <v>0.41666666666666669</v>
      </c>
      <c r="F291" s="75">
        <f>VLOOKUP(E291,データ!$K$20:$O$24,5,FALSE)</f>
        <v>0</v>
      </c>
      <c r="G291" s="74">
        <f>IF(AND(M291&gt;=VLOOKUP(M291,データ!$K$3:$O$6,1,TRUE),M291&lt;=VLOOKUP(M291,データ!$K$3:$O$6,2,TRUE)),VLOOKUP(M291,データ!$K$3:$O$6,4,TRUE),"")</f>
        <v>0.70833333333333337</v>
      </c>
      <c r="H291" s="256">
        <f>INDEX(データ!L$21:N$24,MATCH(配置表!E291,データ!K$21:K$24,0),MATCH(配置表!G291,データ!L$20:N$20,0))</f>
        <v>1</v>
      </c>
      <c r="I291" s="52" t="str">
        <f>IF(ISERROR(VLOOKUP(M291,データ!$A$3:$C$20,3,FALSE)),"",VLOOKUP(M291,データ!$A$3:$C$20,3,FALSE))</f>
        <v/>
      </c>
      <c r="J291" s="52" t="str">
        <f t="shared" si="288"/>
        <v/>
      </c>
      <c r="K291" s="53">
        <f t="shared" si="299"/>
        <v>0</v>
      </c>
      <c r="L291" s="28" t="str">
        <f t="shared" si="289"/>
        <v/>
      </c>
      <c r="M291" s="9">
        <f t="shared" si="300"/>
        <v>46012</v>
      </c>
      <c r="N291" s="10" t="str">
        <f t="shared" si="290"/>
        <v>日</v>
      </c>
      <c r="O291" s="63" t="str">
        <f>IF(AND(M291&gt;=VLOOKUP(M291,データ!$E$3:$G$9,1,TRUE),M291&lt;=VLOOKUP(M291,データ!$E$3:$G$9,2,TRUE)),VLOOKUP(M291,データ!$E$3:$G$9,3,TRUE),"")</f>
        <v>冬　特別展</v>
      </c>
      <c r="P291" s="63" t="str">
        <f>IF(AND(M291&gt;=VLOOKUP(M291,データ!$E$14:$G$21,1,TRUE),M291&lt;=VLOOKUP(M291,データ!$E$14:$G$21,2,TRUE)),VLOOKUP(M291,データ!$E$14:$G$21,3,TRUE),"")</f>
        <v>テーマ展</v>
      </c>
      <c r="Q291" s="45" t="str">
        <f t="shared" si="291"/>
        <v>○</v>
      </c>
      <c r="R291" s="45"/>
      <c r="S291" s="33" t="str">
        <f t="shared" si="304"/>
        <v/>
      </c>
      <c r="T291" s="45"/>
      <c r="U291" s="33" t="str">
        <f t="shared" si="293"/>
        <v>●</v>
      </c>
      <c r="V291" s="32"/>
      <c r="W291" s="33" t="str">
        <f>IF(P291="閉","休",IF(O291="","",IF(O291="冬　特別展",IF(OR(N291="土",N291="日",M291=1),"◎",""),"○")))</f>
        <v>◎</v>
      </c>
      <c r="X291" s="32"/>
      <c r="Y291" s="33" t="str">
        <f t="shared" si="295"/>
        <v>○</v>
      </c>
      <c r="Z291" s="32">
        <f>IF(L291="閉","",(IF(AND(M291&gt;=VLOOKUP(M291,データ!$E$3:$G$9,1,TRUE),M291&lt;=VLOOKUP(M291,データ!$E$3:$G$9,2,TRUE)),VLOOKUP(M291,データ!$E$3:$H$9,4,TRUE),0)+IF(AND(M291&gt;=VLOOKUP(M291,データ!$E$14:$G$21,1,TRUE),M291&lt;=VLOOKUP(M291,データ!$E$14:$G$21,2,TRUE)),VLOOKUP(M291,データ!$E$14:$H$21,4,TRUE),0)))</f>
        <v>5</v>
      </c>
      <c r="AA291" s="33" t="str">
        <f t="shared" si="296"/>
        <v>○</v>
      </c>
      <c r="AB291" s="227">
        <f t="shared" si="297"/>
        <v>0.41666666666666669</v>
      </c>
      <c r="AC291" s="227">
        <f t="shared" si="298"/>
        <v>0.70833333333333337</v>
      </c>
      <c r="AD291" s="228" t="str">
        <f>IF(K291=1,IF(ISERROR(VLOOKUP(M291,データ!$A$3:$C$23,2,FALSE)),"",VLOOKUP(M291,データ!$A$3:$C$23,2,FALSE)),(IF(ISERROR(VLOOKUP(M291,データ!$A$3:$C$23,2,FALSE)),"",VLOOKUP(M291,データ!$A$3:$C$23,2,FALSE))))</f>
        <v/>
      </c>
    </row>
    <row r="292" spans="1:30">
      <c r="A292" s="1">
        <f>IF(AND(M292&gt;=VLOOKUP(M292,データ!$K$3:$O$6,1,TRUE),M292&lt;=VLOOKUP(M292,データ!$K$3:$O$6,2,TRUE)),VLOOKUP(M292,データ!$K$3:$O$6,5,TRUE),"")</f>
        <v>1</v>
      </c>
      <c r="B292" s="74">
        <f>IF(AND(M292&gt;=VLOOKUP(M292,データ!$K$3:$O$6,1,TRUE),M292&lt;=VLOOKUP(M292,データ!$K$3:$O$6,2,TRUE)),VLOOKUP(M292,データ!$K$3:$O$6,3,TRUE),"")</f>
        <v>0.41666666666666669</v>
      </c>
      <c r="C292" s="1">
        <f>IF(AND(M292&gt;=VLOOKUP(M292,データ!$K$11:$O$16,1,TRUE),M292&lt;=VLOOKUP(M292,データ!$K$11:$O$16,2,TRUE)),VLOOKUP(M292,データ!$K$11:$O$16,5,TRUE),0)</f>
        <v>0</v>
      </c>
      <c r="D292" s="74" t="str">
        <f>IF(AND(M292&gt;=VLOOKUP(M292,データ!$K$11:$O$16,1,TRUE),M292&lt;=VLOOKUP(M292,データ!$K$11:$O$16,2,TRUE)),VLOOKUP(M292,データ!$K$11:$O$16,3,TRUE),"")</f>
        <v/>
      </c>
      <c r="E292" s="74">
        <f t="shared" si="287"/>
        <v>0.41666666666666669</v>
      </c>
      <c r="F292" s="75">
        <f>VLOOKUP(E292,データ!$K$20:$O$24,5,FALSE)</f>
        <v>0</v>
      </c>
      <c r="G292" s="74">
        <f>IF(AND(M292&gt;=VLOOKUP(M292,データ!$K$3:$O$6,1,TRUE),M292&lt;=VLOOKUP(M292,データ!$K$3:$O$6,2,TRUE)),VLOOKUP(M292,データ!$K$3:$O$6,4,TRUE),"")</f>
        <v>0.70833333333333337</v>
      </c>
      <c r="H292" s="256">
        <f>INDEX(データ!L$21:N$24,MATCH(配置表!E292,データ!K$21:K$24,0),MATCH(配置表!G292,データ!L$20:N$20,0))</f>
        <v>1</v>
      </c>
      <c r="I292" s="52" t="str">
        <f>IF(ISERROR(VLOOKUP(M292,データ!$A$3:$C$20,3,FALSE)),"",VLOOKUP(M292,データ!$A$3:$C$20,3,FALSE))</f>
        <v/>
      </c>
      <c r="J292" s="52">
        <f t="shared" si="288"/>
        <v>1</v>
      </c>
      <c r="K292" s="53">
        <f t="shared" si="299"/>
        <v>1</v>
      </c>
      <c r="L292" s="28" t="str">
        <f t="shared" si="289"/>
        <v>閉</v>
      </c>
      <c r="M292" s="9">
        <f t="shared" si="300"/>
        <v>46013</v>
      </c>
      <c r="N292" s="10" t="str">
        <f t="shared" si="290"/>
        <v>月</v>
      </c>
      <c r="O292" s="63" t="str">
        <f>IF(AND(M292&gt;=VLOOKUP(M292,データ!$E$3:$G$9,1,TRUE),M292&lt;=VLOOKUP(M292,データ!$E$3:$G$9,2,TRUE)),VLOOKUP(M292,データ!$E$3:$G$9,3,TRUE),"")</f>
        <v>冬　特別展</v>
      </c>
      <c r="P292" s="63" t="str">
        <f>IF(AND(M292&gt;=VLOOKUP(M292,データ!$E$14:$G$21,1,TRUE),M292&lt;=VLOOKUP(M292,データ!$E$14:$G$21,2,TRUE)),VLOOKUP(M292,データ!$E$14:$G$21,3,TRUE),"")</f>
        <v>テーマ展</v>
      </c>
      <c r="Q292" s="44" t="str">
        <f t="shared" si="291"/>
        <v>休</v>
      </c>
      <c r="R292" s="32"/>
      <c r="S292" s="33" t="str">
        <f t="shared" si="292"/>
        <v>休</v>
      </c>
      <c r="T292" s="32"/>
      <c r="U292" s="33" t="str">
        <f t="shared" si="293"/>
        <v>休</v>
      </c>
      <c r="V292" s="32"/>
      <c r="W292" s="33" t="str">
        <f t="shared" si="294"/>
        <v>休</v>
      </c>
      <c r="X292" s="32"/>
      <c r="Y292" s="33" t="str">
        <f t="shared" si="295"/>
        <v>休</v>
      </c>
      <c r="Z292" s="32" t="str">
        <f>IF(L292="閉","",(IF(AND(M292&gt;=VLOOKUP(M292,データ!$E$3:$G$9,1,TRUE),M292&lt;=VLOOKUP(M292,データ!$E$3:$G$9,2,TRUE)),VLOOKUP(M292,データ!$E$3:$H$9,4,TRUE),0)+IF(AND(M292&gt;=VLOOKUP(M292,データ!$E$14:$G$21,1,TRUE),M292&lt;=VLOOKUP(M292,データ!$E$14:$G$21,2,TRUE)),VLOOKUP(M292,データ!$E$14:$H$21,4,TRUE),0)))</f>
        <v/>
      </c>
      <c r="AA292" s="33" t="str">
        <f t="shared" si="296"/>
        <v>休</v>
      </c>
      <c r="AB292" s="227" t="str">
        <f t="shared" si="297"/>
        <v/>
      </c>
      <c r="AC292" s="227" t="str">
        <f t="shared" si="298"/>
        <v/>
      </c>
      <c r="AD292" s="228" t="str">
        <f>IF(K292=1,IF(ISERROR(VLOOKUP(M292,データ!$A$3:$C$23,2,FALSE)),"",VLOOKUP(M292,データ!$A$3:$C$23,2,FALSE)),(IF(ISERROR(VLOOKUP(M292,データ!$A$3:$C$23,2,FALSE)),"",VLOOKUP(M292,データ!$A$3:$C$23,2,FALSE))))</f>
        <v/>
      </c>
    </row>
    <row r="293" spans="1:30">
      <c r="A293" s="1">
        <f>IF(AND(M293&gt;=VLOOKUP(M293,データ!$K$3:$O$6,1,TRUE),M293&lt;=VLOOKUP(M293,データ!$K$3:$O$6,2,TRUE)),VLOOKUP(M293,データ!$K$3:$O$6,5,TRUE),"")</f>
        <v>1</v>
      </c>
      <c r="B293" s="74">
        <f>IF(AND(M293&gt;=VLOOKUP(M293,データ!$K$3:$O$6,1,TRUE),M293&lt;=VLOOKUP(M293,データ!$K$3:$O$6,2,TRUE)),VLOOKUP(M293,データ!$K$3:$O$6,3,TRUE),"")</f>
        <v>0.41666666666666669</v>
      </c>
      <c r="C293" s="1">
        <f>IF(AND(M293&gt;=VLOOKUP(M293,データ!$K$11:$O$16,1,TRUE),M293&lt;=VLOOKUP(M293,データ!$K$11:$O$16,2,TRUE)),VLOOKUP(M293,データ!$K$11:$O$16,5,TRUE),0)</f>
        <v>0</v>
      </c>
      <c r="D293" s="74" t="str">
        <f>IF(AND(M293&gt;=VLOOKUP(M293,データ!$K$11:$O$16,1,TRUE),M293&lt;=VLOOKUP(M293,データ!$K$11:$O$16,2,TRUE)),VLOOKUP(M293,データ!$K$11:$O$16,3,TRUE),"")</f>
        <v/>
      </c>
      <c r="E293" s="74">
        <f t="shared" si="287"/>
        <v>0.41666666666666669</v>
      </c>
      <c r="F293" s="75">
        <f>VLOOKUP(E293,データ!$K$20:$O$24,5,FALSE)</f>
        <v>0</v>
      </c>
      <c r="G293" s="74">
        <f>IF(AND(M293&gt;=VLOOKUP(M293,データ!$K$3:$O$6,1,TRUE),M293&lt;=VLOOKUP(M293,データ!$K$3:$O$6,2,TRUE)),VLOOKUP(M293,データ!$K$3:$O$6,4,TRUE),"")</f>
        <v>0.70833333333333337</v>
      </c>
      <c r="H293" s="256">
        <f>INDEX(データ!L$21:N$24,MATCH(配置表!E293,データ!K$21:K$24,0),MATCH(配置表!G293,データ!L$20:N$20,0))</f>
        <v>1</v>
      </c>
      <c r="I293" s="52" t="str">
        <f>IF(ISERROR(VLOOKUP(M293,データ!$A$3:$C$20,3,FALSE)),"",VLOOKUP(M293,データ!$A$3:$C$20,3,FALSE))</f>
        <v/>
      </c>
      <c r="J293" s="52" t="str">
        <f t="shared" si="288"/>
        <v/>
      </c>
      <c r="K293" s="53">
        <f t="shared" si="299"/>
        <v>0</v>
      </c>
      <c r="L293" s="28" t="str">
        <f t="shared" si="289"/>
        <v/>
      </c>
      <c r="M293" s="9">
        <f t="shared" si="300"/>
        <v>46014</v>
      </c>
      <c r="N293" s="10" t="str">
        <f t="shared" si="290"/>
        <v>火</v>
      </c>
      <c r="O293" s="63" t="str">
        <f>IF(AND(M293&gt;=VLOOKUP(M293,データ!$E$3:$G$9,1,TRUE),M293&lt;=VLOOKUP(M293,データ!$E$3:$G$9,2,TRUE)),VLOOKUP(M293,データ!$E$3:$G$9,3,TRUE),"")</f>
        <v>冬　特別展</v>
      </c>
      <c r="P293" s="63" t="str">
        <f>IF(AND(M293&gt;=VLOOKUP(M293,データ!$E$14:$G$21,1,TRUE),M293&lt;=VLOOKUP(M293,データ!$E$14:$G$21,2,TRUE)),VLOOKUP(M293,データ!$E$14:$G$21,3,TRUE),"")</f>
        <v>テーマ展</v>
      </c>
      <c r="Q293" s="45" t="str">
        <f t="shared" si="291"/>
        <v>○</v>
      </c>
      <c r="R293" s="45"/>
      <c r="S293" s="33" t="str">
        <f t="shared" si="292"/>
        <v/>
      </c>
      <c r="T293" s="10"/>
      <c r="U293" s="10" t="str">
        <f t="shared" si="293"/>
        <v>●</v>
      </c>
      <c r="V293" s="32"/>
      <c r="W293" s="33" t="str">
        <f t="shared" si="294"/>
        <v/>
      </c>
      <c r="X293" s="32"/>
      <c r="Y293" s="33" t="str">
        <f t="shared" si="295"/>
        <v>○</v>
      </c>
      <c r="Z293" s="32">
        <f>IF(L293="閉","",(IF(AND(M293&gt;=VLOOKUP(M293,データ!$E$3:$G$9,1,TRUE),M293&lt;=VLOOKUP(M293,データ!$E$3:$G$9,2,TRUE)),VLOOKUP(M293,データ!$E$3:$H$9,4,TRUE),0)+IF(AND(M293&gt;=VLOOKUP(M293,データ!$E$14:$G$21,1,TRUE),M293&lt;=VLOOKUP(M293,データ!$E$14:$G$21,2,TRUE)),VLOOKUP(M293,データ!$E$14:$H$21,4,TRUE),0)))</f>
        <v>5</v>
      </c>
      <c r="AA293" s="33" t="str">
        <f t="shared" si="296"/>
        <v>○</v>
      </c>
      <c r="AB293" s="227">
        <f t="shared" si="297"/>
        <v>0.41666666666666669</v>
      </c>
      <c r="AC293" s="227">
        <f t="shared" si="298"/>
        <v>0.70833333333333337</v>
      </c>
      <c r="AD293" s="228" t="str">
        <f>IF(K293=1,IF(ISERROR(VLOOKUP(M293,データ!$A$3:$C$23,2,FALSE)),"",VLOOKUP(M293,データ!$A$3:$C$23,2,FALSE)),(IF(ISERROR(VLOOKUP(M293,データ!$A$3:$C$23,2,FALSE)),"",VLOOKUP(M293,データ!$A$3:$C$23,2,FALSE))))</f>
        <v/>
      </c>
    </row>
    <row r="294" spans="1:30">
      <c r="A294" s="1">
        <f>IF(AND(M294&gt;=VLOOKUP(M294,データ!$K$3:$O$6,1,TRUE),M294&lt;=VLOOKUP(M294,データ!$K$3:$O$6,2,TRUE)),VLOOKUP(M294,データ!$K$3:$O$6,5,TRUE),"")</f>
        <v>1</v>
      </c>
      <c r="B294" s="74">
        <f>IF(AND(M294&gt;=VLOOKUP(M294,データ!$K$3:$O$6,1,TRUE),M294&lt;=VLOOKUP(M294,データ!$K$3:$O$6,2,TRUE)),VLOOKUP(M294,データ!$K$3:$O$6,3,TRUE),"")</f>
        <v>0.41666666666666669</v>
      </c>
      <c r="C294" s="1">
        <f>IF(AND(M294&gt;=VLOOKUP(M294,データ!$K$11:$O$16,1,TRUE),M294&lt;=VLOOKUP(M294,データ!$K$11:$O$16,2,TRUE)),VLOOKUP(M294,データ!$K$11:$O$16,5,TRUE),0)</f>
        <v>0</v>
      </c>
      <c r="D294" s="74" t="str">
        <f>IF(AND(M294&gt;=VLOOKUP(M294,データ!$K$11:$O$16,1,TRUE),M294&lt;=VLOOKUP(M294,データ!$K$11:$O$16,2,TRUE)),VLOOKUP(M294,データ!$K$11:$O$16,3,TRUE),"")</f>
        <v/>
      </c>
      <c r="E294" s="74">
        <f t="shared" si="287"/>
        <v>0.41666666666666669</v>
      </c>
      <c r="F294" s="75">
        <f>VLOOKUP(E294,データ!$K$20:$O$24,5,FALSE)</f>
        <v>0</v>
      </c>
      <c r="G294" s="74">
        <f>IF(AND(M294&gt;=VLOOKUP(M294,データ!$K$3:$O$6,1,TRUE),M294&lt;=VLOOKUP(M294,データ!$K$3:$O$6,2,TRUE)),VLOOKUP(M294,データ!$K$3:$O$6,4,TRUE),"")</f>
        <v>0.70833333333333337</v>
      </c>
      <c r="H294" s="256">
        <f>INDEX(データ!L$21:N$24,MATCH(配置表!E294,データ!K$21:K$24,0),MATCH(配置表!G294,データ!L$20:N$20,0))</f>
        <v>1</v>
      </c>
      <c r="I294" s="52" t="str">
        <f>IF(ISERROR(VLOOKUP(M294,データ!$A$3:$C$20,3,FALSE)),"",VLOOKUP(M294,データ!$A$3:$C$20,3,FALSE))</f>
        <v/>
      </c>
      <c r="J294" s="52" t="str">
        <f t="shared" si="288"/>
        <v/>
      </c>
      <c r="K294" s="53">
        <f t="shared" si="299"/>
        <v>0</v>
      </c>
      <c r="L294" s="28" t="str">
        <f t="shared" si="289"/>
        <v/>
      </c>
      <c r="M294" s="9">
        <f t="shared" si="300"/>
        <v>46015</v>
      </c>
      <c r="N294" s="10" t="str">
        <f t="shared" si="290"/>
        <v>水</v>
      </c>
      <c r="O294" s="63" t="str">
        <f>IF(AND(M294&gt;=VLOOKUP(M294,データ!$E$3:$G$9,1,TRUE),M294&lt;=VLOOKUP(M294,データ!$E$3:$G$9,2,TRUE)),VLOOKUP(M294,データ!$E$3:$G$9,3,TRUE),"")</f>
        <v>冬　特別展</v>
      </c>
      <c r="P294" s="63" t="str">
        <f>IF(AND(M294&gt;=VLOOKUP(M294,データ!$E$14:$G$21,1,TRUE),M294&lt;=VLOOKUP(M294,データ!$E$14:$G$21,2,TRUE)),VLOOKUP(M294,データ!$E$14:$G$21,3,TRUE),"")</f>
        <v>テーマ展</v>
      </c>
      <c r="Q294" s="45" t="str">
        <f t="shared" si="291"/>
        <v>○</v>
      </c>
      <c r="R294" s="45"/>
      <c r="S294" s="33" t="str">
        <f t="shared" si="292"/>
        <v/>
      </c>
      <c r="T294" s="10"/>
      <c r="U294" s="10" t="str">
        <f t="shared" si="293"/>
        <v>●</v>
      </c>
      <c r="V294" s="32"/>
      <c r="W294" s="33" t="str">
        <f t="shared" si="294"/>
        <v/>
      </c>
      <c r="X294" s="32"/>
      <c r="Y294" s="33" t="str">
        <f t="shared" si="295"/>
        <v>○</v>
      </c>
      <c r="Z294" s="32">
        <f>IF(L294="閉","",(IF(AND(M294&gt;=VLOOKUP(M294,データ!$E$3:$G$9,1,TRUE),M294&lt;=VLOOKUP(M294,データ!$E$3:$G$9,2,TRUE)),VLOOKUP(M294,データ!$E$3:$H$9,4,TRUE),0)+IF(AND(M294&gt;=VLOOKUP(M294,データ!$E$14:$G$21,1,TRUE),M294&lt;=VLOOKUP(M294,データ!$E$14:$G$21,2,TRUE)),VLOOKUP(M294,データ!$E$14:$H$21,4,TRUE),0)))</f>
        <v>5</v>
      </c>
      <c r="AA294" s="33" t="str">
        <f t="shared" si="296"/>
        <v>○</v>
      </c>
      <c r="AB294" s="227">
        <f t="shared" si="297"/>
        <v>0.41666666666666669</v>
      </c>
      <c r="AC294" s="227">
        <f t="shared" si="298"/>
        <v>0.70833333333333337</v>
      </c>
      <c r="AD294" s="228" t="str">
        <f>IF(K294=1,IF(ISERROR(VLOOKUP(M294,データ!$A$3:$C$23,2,FALSE)),"",VLOOKUP(M294,データ!$A$3:$C$23,2,FALSE)),(IF(ISERROR(VLOOKUP(M294,データ!$A$3:$C$23,2,FALSE)),"",VLOOKUP(M294,データ!$A$3:$C$23,2,FALSE))))</f>
        <v/>
      </c>
    </row>
    <row r="295" spans="1:30">
      <c r="A295" s="1">
        <f>IF(AND(M295&gt;=VLOOKUP(M295,データ!$K$3:$O$6,1,TRUE),M295&lt;=VLOOKUP(M295,データ!$K$3:$O$6,2,TRUE)),VLOOKUP(M295,データ!$K$3:$O$6,5,TRUE),"")</f>
        <v>1</v>
      </c>
      <c r="B295" s="74">
        <f>IF(AND(M295&gt;=VLOOKUP(M295,データ!$K$3:$O$6,1,TRUE),M295&lt;=VLOOKUP(M295,データ!$K$3:$O$6,2,TRUE)),VLOOKUP(M295,データ!$K$3:$O$6,3,TRUE),"")</f>
        <v>0.41666666666666669</v>
      </c>
      <c r="C295" s="1">
        <f>IF(AND(M295&gt;=VLOOKUP(M295,データ!$K$11:$O$16,1,TRUE),M295&lt;=VLOOKUP(M295,データ!$K$11:$O$16,2,TRUE)),VLOOKUP(M295,データ!$K$11:$O$16,5,TRUE),0)</f>
        <v>0</v>
      </c>
      <c r="D295" s="74" t="str">
        <f>IF(AND(M295&gt;=VLOOKUP(M295,データ!$K$11:$O$16,1,TRUE),M295&lt;=VLOOKUP(M295,データ!$K$11:$O$16,2,TRUE)),VLOOKUP(M295,データ!$K$11:$O$16,3,TRUE),"")</f>
        <v/>
      </c>
      <c r="E295" s="74">
        <f t="shared" si="287"/>
        <v>0.41666666666666669</v>
      </c>
      <c r="F295" s="75">
        <f>VLOOKUP(E295,データ!$K$20:$O$24,5,FALSE)</f>
        <v>0</v>
      </c>
      <c r="G295" s="74">
        <f>IF(AND(M295&gt;=VLOOKUP(M295,データ!$K$3:$O$6,1,TRUE),M295&lt;=VLOOKUP(M295,データ!$K$3:$O$6,2,TRUE)),VLOOKUP(M295,データ!$K$3:$O$6,4,TRUE),"")</f>
        <v>0.70833333333333337</v>
      </c>
      <c r="H295" s="256">
        <f>INDEX(データ!L$21:N$24,MATCH(配置表!E295,データ!K$21:K$24,0),MATCH(配置表!G295,データ!L$20:N$20,0))</f>
        <v>1</v>
      </c>
      <c r="I295" s="52" t="str">
        <f>IF(ISERROR(VLOOKUP(M295,データ!$A$3:$C$20,3,FALSE)),"",VLOOKUP(M295,データ!$A$3:$C$20,3,FALSE))</f>
        <v/>
      </c>
      <c r="J295" s="52" t="str">
        <f t="shared" si="288"/>
        <v/>
      </c>
      <c r="K295" s="53">
        <f t="shared" si="299"/>
        <v>0</v>
      </c>
      <c r="L295" s="28" t="str">
        <f t="shared" si="289"/>
        <v/>
      </c>
      <c r="M295" s="9">
        <f t="shared" si="300"/>
        <v>46016</v>
      </c>
      <c r="N295" s="10" t="str">
        <f t="shared" si="290"/>
        <v>木</v>
      </c>
      <c r="O295" s="63" t="str">
        <f>IF(AND(M295&gt;=VLOOKUP(M295,データ!$E$3:$G$9,1,TRUE),M295&lt;=VLOOKUP(M295,データ!$E$3:$G$9,2,TRUE)),VLOOKUP(M295,データ!$E$3:$G$9,3,TRUE),"")</f>
        <v>冬　特別展</v>
      </c>
      <c r="P295" s="63" t="str">
        <f>IF(AND(M295&gt;=VLOOKUP(M295,データ!$E$14:$G$21,1,TRUE),M295&lt;=VLOOKUP(M295,データ!$E$14:$G$21,2,TRUE)),VLOOKUP(M295,データ!$E$14:$G$21,3,TRUE),"")</f>
        <v>テーマ展</v>
      </c>
      <c r="Q295" s="45" t="str">
        <f t="shared" si="291"/>
        <v>○</v>
      </c>
      <c r="R295" s="45"/>
      <c r="S295" s="33" t="str">
        <f t="shared" si="292"/>
        <v/>
      </c>
      <c r="T295" s="10"/>
      <c r="U295" s="10" t="str">
        <f t="shared" si="293"/>
        <v>●</v>
      </c>
      <c r="V295" s="32"/>
      <c r="W295" s="33" t="str">
        <f t="shared" si="294"/>
        <v/>
      </c>
      <c r="X295" s="32"/>
      <c r="Y295" s="33" t="str">
        <f t="shared" si="295"/>
        <v>○</v>
      </c>
      <c r="Z295" s="32">
        <f>IF(L295="閉","",(IF(AND(M295&gt;=VLOOKUP(M295,データ!$E$3:$G$9,1,TRUE),M295&lt;=VLOOKUP(M295,データ!$E$3:$G$9,2,TRUE)),VLOOKUP(M295,データ!$E$3:$H$9,4,TRUE),0)+IF(AND(M295&gt;=VLOOKUP(M295,データ!$E$14:$G$21,1,TRUE),M295&lt;=VLOOKUP(M295,データ!$E$14:$G$21,2,TRUE)),VLOOKUP(M295,データ!$E$14:$H$21,4,TRUE),0)))</f>
        <v>5</v>
      </c>
      <c r="AA295" s="33" t="str">
        <f t="shared" si="296"/>
        <v>○</v>
      </c>
      <c r="AB295" s="227">
        <f t="shared" si="297"/>
        <v>0.41666666666666669</v>
      </c>
      <c r="AC295" s="227">
        <f t="shared" si="298"/>
        <v>0.70833333333333337</v>
      </c>
      <c r="AD295" s="228" t="str">
        <f>IF(K295=1,IF(ISERROR(VLOOKUP(M295,データ!$A$3:$C$23,2,FALSE)),"",VLOOKUP(M295,データ!$A$3:$C$23,2,FALSE)),(IF(ISERROR(VLOOKUP(M295,データ!$A$3:$C$23,2,FALSE)),"",VLOOKUP(M295,データ!$A$3:$C$23,2,FALSE))))</f>
        <v/>
      </c>
    </row>
    <row r="296" spans="1:30">
      <c r="A296" s="1">
        <f>IF(AND(M296&gt;=VLOOKUP(M296,データ!$K$3:$O$6,1,TRUE),M296&lt;=VLOOKUP(M296,データ!$K$3:$O$6,2,TRUE)),VLOOKUP(M296,データ!$K$3:$O$6,5,TRUE),"")</f>
        <v>1</v>
      </c>
      <c r="B296" s="74">
        <f>IF(AND(M296&gt;=VLOOKUP(M296,データ!$K$3:$O$6,1,TRUE),M296&lt;=VLOOKUP(M296,データ!$K$3:$O$6,2,TRUE)),VLOOKUP(M296,データ!$K$3:$O$6,3,TRUE),"")</f>
        <v>0.41666666666666669</v>
      </c>
      <c r="C296" s="1">
        <f>IF(AND(M296&gt;=VLOOKUP(M296,データ!$K$11:$O$16,1,TRUE),M296&lt;=VLOOKUP(M296,データ!$K$11:$O$16,2,TRUE)),VLOOKUP(M296,データ!$K$11:$O$16,5,TRUE),0)</f>
        <v>0</v>
      </c>
      <c r="D296" s="74" t="str">
        <f>IF(AND(M296&gt;=VLOOKUP(M296,データ!$K$11:$O$16,1,TRUE),M296&lt;=VLOOKUP(M296,データ!$K$11:$O$16,2,TRUE)),VLOOKUP(M296,データ!$K$11:$O$16,3,TRUE),"")</f>
        <v/>
      </c>
      <c r="E296" s="74">
        <f t="shared" si="287"/>
        <v>0.41666666666666669</v>
      </c>
      <c r="F296" s="75">
        <f>VLOOKUP(E296,データ!$K$20:$O$24,5,FALSE)</f>
        <v>0</v>
      </c>
      <c r="G296" s="74">
        <f>IF(AND(M296&gt;=VLOOKUP(M296,データ!$K$3:$O$6,1,TRUE),M296&lt;=VLOOKUP(M296,データ!$K$3:$O$6,2,TRUE)),VLOOKUP(M296,データ!$K$3:$O$6,4,TRUE),"")</f>
        <v>0.70833333333333337</v>
      </c>
      <c r="H296" s="256">
        <f>INDEX(データ!L$21:N$24,MATCH(配置表!E296,データ!K$21:K$24,0),MATCH(配置表!G296,データ!L$20:N$20,0))</f>
        <v>1</v>
      </c>
      <c r="I296" s="52" t="str">
        <f>IF(ISERROR(VLOOKUP(M296,データ!$A$3:$C$20,3,FALSE)),"",VLOOKUP(M296,データ!$A$3:$C$20,3,FALSE))</f>
        <v/>
      </c>
      <c r="J296" s="52" t="str">
        <f t="shared" si="288"/>
        <v/>
      </c>
      <c r="K296" s="53">
        <f t="shared" si="299"/>
        <v>0</v>
      </c>
      <c r="L296" s="28" t="str">
        <f t="shared" si="289"/>
        <v/>
      </c>
      <c r="M296" s="9">
        <f t="shared" si="300"/>
        <v>46017</v>
      </c>
      <c r="N296" s="10" t="str">
        <f t="shared" si="290"/>
        <v>金</v>
      </c>
      <c r="O296" s="63" t="str">
        <f>IF(AND(M296&gt;=VLOOKUP(M296,データ!$E$3:$G$9,1,TRUE),M296&lt;=VLOOKUP(M296,データ!$E$3:$G$9,2,TRUE)),VLOOKUP(M296,データ!$E$3:$G$9,3,TRUE),"")</f>
        <v>冬　特別展</v>
      </c>
      <c r="P296" s="63" t="str">
        <f>IF(AND(M296&gt;=VLOOKUP(M296,データ!$E$14:$G$21,1,TRUE),M296&lt;=VLOOKUP(M296,データ!$E$14:$G$21,2,TRUE)),VLOOKUP(M296,データ!$E$14:$G$21,3,TRUE),"")</f>
        <v>テーマ展</v>
      </c>
      <c r="Q296" s="45" t="str">
        <f t="shared" si="291"/>
        <v>○</v>
      </c>
      <c r="R296" s="45"/>
      <c r="S296" s="33" t="str">
        <f t="shared" si="292"/>
        <v/>
      </c>
      <c r="T296" s="10"/>
      <c r="U296" s="10" t="str">
        <f t="shared" si="293"/>
        <v>●</v>
      </c>
      <c r="V296" s="32"/>
      <c r="W296" s="33" t="str">
        <f t="shared" si="294"/>
        <v/>
      </c>
      <c r="X296" s="32"/>
      <c r="Y296" s="33" t="str">
        <f t="shared" si="295"/>
        <v>○</v>
      </c>
      <c r="Z296" s="32">
        <f>IF(L296="閉","",(IF(AND(M296&gt;=VLOOKUP(M296,データ!$E$3:$G$9,1,TRUE),M296&lt;=VLOOKUP(M296,データ!$E$3:$G$9,2,TRUE)),VLOOKUP(M296,データ!$E$3:$H$9,4,TRUE),0)+IF(AND(M296&gt;=VLOOKUP(M296,データ!$E$14:$G$21,1,TRUE),M296&lt;=VLOOKUP(M296,データ!$E$14:$G$21,2,TRUE)),VLOOKUP(M296,データ!$E$14:$H$21,4,TRUE),0)))</f>
        <v>5</v>
      </c>
      <c r="AA296" s="33" t="str">
        <f t="shared" si="296"/>
        <v>○</v>
      </c>
      <c r="AB296" s="227">
        <f t="shared" si="297"/>
        <v>0.41666666666666669</v>
      </c>
      <c r="AC296" s="227">
        <f t="shared" si="298"/>
        <v>0.70833333333333337</v>
      </c>
      <c r="AD296" s="228" t="str">
        <f>IF(K296=1,IF(ISERROR(VLOOKUP(M296,データ!$A$3:$C$23,2,FALSE)),"",VLOOKUP(M296,データ!$A$3:$C$23,2,FALSE)),(IF(ISERROR(VLOOKUP(M296,データ!$A$3:$C$23,2,FALSE)),"",VLOOKUP(M296,データ!$A$3:$C$23,2,FALSE))))</f>
        <v/>
      </c>
    </row>
    <row r="297" spans="1:30">
      <c r="A297" s="1">
        <f>IF(AND(M297&gt;=VLOOKUP(M297,データ!$K$3:$O$6,1,TRUE),M297&lt;=VLOOKUP(M297,データ!$K$3:$O$6,2,TRUE)),VLOOKUP(M297,データ!$K$3:$O$6,5,TRUE),"")</f>
        <v>1</v>
      </c>
      <c r="B297" s="74">
        <f>IF(AND(M297&gt;=VLOOKUP(M297,データ!$K$3:$O$6,1,TRUE),M297&lt;=VLOOKUP(M297,データ!$K$3:$O$6,2,TRUE)),VLOOKUP(M297,データ!$K$3:$O$6,3,TRUE),"")</f>
        <v>0.41666666666666669</v>
      </c>
      <c r="C297" s="1">
        <f>IF(AND(M297&gt;=VLOOKUP(M297,データ!$K$11:$O$16,1,TRUE),M297&lt;=VLOOKUP(M297,データ!$K$11:$O$16,2,TRUE)),VLOOKUP(M297,データ!$K$11:$O$16,5,TRUE),0)</f>
        <v>0</v>
      </c>
      <c r="D297" s="74" t="str">
        <f>IF(AND(M297&gt;=VLOOKUP(M297,データ!$K$11:$O$16,1,TRUE),M297&lt;=VLOOKUP(M297,データ!$K$11:$O$16,2,TRUE)),VLOOKUP(M297,データ!$K$11:$O$16,3,TRUE),"")</f>
        <v/>
      </c>
      <c r="E297" s="74">
        <f t="shared" si="287"/>
        <v>0.41666666666666669</v>
      </c>
      <c r="F297" s="75">
        <f>VLOOKUP(E297,データ!$K$20:$O$24,5,FALSE)</f>
        <v>0</v>
      </c>
      <c r="G297" s="74">
        <f>IF(AND(M297&gt;=VLOOKUP(M297,データ!$K$3:$O$6,1,TRUE),M297&lt;=VLOOKUP(M297,データ!$K$3:$O$6,2,TRUE)),VLOOKUP(M297,データ!$K$3:$O$6,4,TRUE),"")</f>
        <v>0.70833333333333337</v>
      </c>
      <c r="H297" s="256">
        <f>INDEX(データ!L$21:N$24,MATCH(配置表!E297,データ!K$21:K$24,0),MATCH(配置表!G297,データ!L$20:N$20,0))</f>
        <v>1</v>
      </c>
      <c r="I297" s="52" t="str">
        <f>IF(ISERROR(VLOOKUP(M297,データ!$A$3:$C$20,3,FALSE)),"",VLOOKUP(M297,データ!$A$3:$C$20,3,FALSE))</f>
        <v/>
      </c>
      <c r="J297" s="52" t="str">
        <f t="shared" si="288"/>
        <v/>
      </c>
      <c r="K297" s="53">
        <f t="shared" si="299"/>
        <v>0</v>
      </c>
      <c r="L297" s="28" t="str">
        <f t="shared" si="289"/>
        <v/>
      </c>
      <c r="M297" s="9">
        <f t="shared" si="300"/>
        <v>46018</v>
      </c>
      <c r="N297" s="10" t="str">
        <f t="shared" si="290"/>
        <v>土</v>
      </c>
      <c r="O297" s="63" t="str">
        <f>IF(AND(M297&gt;=VLOOKUP(M297,データ!$E$3:$G$9,1,TRUE),M297&lt;=VLOOKUP(M297,データ!$E$3:$G$9,2,TRUE)),VLOOKUP(M297,データ!$E$3:$G$9,3,TRUE),"")</f>
        <v>冬　特別展</v>
      </c>
      <c r="P297" s="63" t="str">
        <f>IF(AND(M297&gt;=VLOOKUP(M297,データ!$E$14:$G$21,1,TRUE),M297&lt;=VLOOKUP(M297,データ!$E$14:$G$21,2,TRUE)),VLOOKUP(M297,データ!$E$14:$G$21,3,TRUE),"")</f>
        <v>テーマ展</v>
      </c>
      <c r="Q297" s="45" t="str">
        <f t="shared" si="291"/>
        <v>○</v>
      </c>
      <c r="R297" s="45"/>
      <c r="S297" s="33" t="str">
        <f t="shared" ref="S297:S298" si="305">IF(H297="閉","休",IF(K297="","",IF(OR(J297="土",J297="日",E297=1),IF(OR(K297="ダミー　特別展",K297="ダミー　特別展"),"◎",IF(OR(K297="夏　特別展",K297="秋　特別展",K297="春　特別展"),"○","")),"")))</f>
        <v/>
      </c>
      <c r="T297" s="45"/>
      <c r="U297" s="33" t="str">
        <f t="shared" ref="U297:U298" si="306">IF(L297="閉","休",IF(S297="","●","●"))</f>
        <v>●</v>
      </c>
      <c r="V297" s="32"/>
      <c r="W297" s="33" t="str">
        <f>IF(P297="閉","休",IF(O297="","",IF(O297="冬　特別展",IF(OR(N297="土",N297="日",I297=1),"◎",""),"○")))</f>
        <v>◎</v>
      </c>
      <c r="X297" s="32"/>
      <c r="Y297" s="33" t="str">
        <f t="shared" si="295"/>
        <v>○</v>
      </c>
      <c r="Z297" s="32">
        <f>IF(L297="閉","",(IF(AND(M297&gt;=VLOOKUP(M297,データ!$E$3:$G$9,1,TRUE),M297&lt;=VLOOKUP(M297,データ!$E$3:$G$9,2,TRUE)),VLOOKUP(M297,データ!$E$3:$H$9,4,TRUE),0)+IF(AND(M297&gt;=VLOOKUP(M297,データ!$E$14:$G$21,1,TRUE),M297&lt;=VLOOKUP(M297,データ!$E$14:$G$21,2,TRUE)),VLOOKUP(M297,データ!$E$14:$H$21,4,TRUE),0)))</f>
        <v>5</v>
      </c>
      <c r="AA297" s="33" t="str">
        <f t="shared" si="296"/>
        <v>○</v>
      </c>
      <c r="AB297" s="227">
        <f t="shared" si="297"/>
        <v>0.41666666666666669</v>
      </c>
      <c r="AC297" s="227">
        <f t="shared" si="298"/>
        <v>0.70833333333333337</v>
      </c>
      <c r="AD297" s="228" t="str">
        <f>IF(K297=1,IF(ISERROR(VLOOKUP(M297,データ!$A$3:$C$23,2,FALSE)),"",VLOOKUP(M297,データ!$A$3:$C$23,2,FALSE)),(IF(ISERROR(VLOOKUP(M297,データ!$A$3:$C$23,2,FALSE)),"",VLOOKUP(M297,データ!$A$3:$C$23,2,FALSE))))</f>
        <v/>
      </c>
    </row>
    <row r="298" spans="1:30">
      <c r="A298" s="1">
        <f>IF(AND(M298&gt;=VLOOKUP(M298,データ!$K$3:$O$6,1,TRUE),M298&lt;=VLOOKUP(M298,データ!$K$3:$O$6,2,TRUE)),VLOOKUP(M298,データ!$K$3:$O$6,5,TRUE),"")</f>
        <v>1</v>
      </c>
      <c r="B298" s="74">
        <f>IF(AND(M298&gt;=VLOOKUP(M298,データ!$K$3:$O$6,1,TRUE),M298&lt;=VLOOKUP(M298,データ!$K$3:$O$6,2,TRUE)),VLOOKUP(M298,データ!$K$3:$O$6,3,TRUE),"")</f>
        <v>0.41666666666666669</v>
      </c>
      <c r="C298" s="1">
        <f>IF(AND(M298&gt;=VLOOKUP(M298,データ!$K$11:$O$16,1,TRUE),M298&lt;=VLOOKUP(M298,データ!$K$11:$O$16,2,TRUE)),VLOOKUP(M298,データ!$K$11:$O$16,5,TRUE),0)</f>
        <v>0</v>
      </c>
      <c r="D298" s="74" t="str">
        <f>IF(AND(M298&gt;=VLOOKUP(M298,データ!$K$11:$O$16,1,TRUE),M298&lt;=VLOOKUP(M298,データ!$K$11:$O$16,2,TRUE)),VLOOKUP(M298,データ!$K$11:$O$16,3,TRUE),"")</f>
        <v/>
      </c>
      <c r="E298" s="74">
        <f t="shared" si="287"/>
        <v>0.41666666666666669</v>
      </c>
      <c r="F298" s="75">
        <f>VLOOKUP(E298,データ!$K$20:$O$24,5,FALSE)</f>
        <v>0</v>
      </c>
      <c r="G298" s="74">
        <f>IF(AND(M298&gt;=VLOOKUP(M298,データ!$K$3:$O$6,1,TRUE),M298&lt;=VLOOKUP(M298,データ!$K$3:$O$6,2,TRUE)),VLOOKUP(M298,データ!$K$3:$O$6,4,TRUE),"")</f>
        <v>0.70833333333333337</v>
      </c>
      <c r="H298" s="256">
        <f>INDEX(データ!L$21:N$24,MATCH(配置表!E298,データ!K$21:K$24,0),MATCH(配置表!G298,データ!L$20:N$20,0))</f>
        <v>1</v>
      </c>
      <c r="I298" s="52" t="str">
        <f>IF(ISERROR(VLOOKUP(M298,データ!$A$3:$C$20,3,FALSE)),"",VLOOKUP(M298,データ!$A$3:$C$20,3,FALSE))</f>
        <v/>
      </c>
      <c r="J298" s="52" t="str">
        <f t="shared" si="288"/>
        <v/>
      </c>
      <c r="K298" s="53">
        <f>IF(K297=2,IF(I298=1,2,1),IF(I298=1,IF(J298=1,2,0),IF(J298=1,1,0)))</f>
        <v>0</v>
      </c>
      <c r="L298" s="28" t="str">
        <f t="shared" si="289"/>
        <v/>
      </c>
      <c r="M298" s="9">
        <f t="shared" si="300"/>
        <v>46019</v>
      </c>
      <c r="N298" s="10" t="str">
        <f t="shared" si="290"/>
        <v>日</v>
      </c>
      <c r="O298" s="63" t="str">
        <f>IF(AND(M298&gt;=VLOOKUP(M298,データ!$E$3:$G$9,1,TRUE),M298&lt;=VLOOKUP(M298,データ!$E$3:$G$9,2,TRUE)),VLOOKUP(M298,データ!$E$3:$G$9,3,TRUE),"")</f>
        <v>冬　特別展</v>
      </c>
      <c r="P298" s="63" t="str">
        <f>IF(AND(M298&gt;=VLOOKUP(M298,データ!$E$14:$G$21,1,TRUE),M298&lt;=VLOOKUP(M298,データ!$E$14:$G$21,2,TRUE)),VLOOKUP(M298,データ!$E$14:$G$21,3,TRUE),"")</f>
        <v>テーマ展</v>
      </c>
      <c r="Q298" s="45" t="str">
        <f t="shared" si="291"/>
        <v>○</v>
      </c>
      <c r="R298" s="45"/>
      <c r="S298" s="33" t="str">
        <f t="shared" si="305"/>
        <v/>
      </c>
      <c r="T298" s="45"/>
      <c r="U298" s="33" t="str">
        <f t="shared" si="306"/>
        <v>●</v>
      </c>
      <c r="V298" s="32"/>
      <c r="W298" s="33" t="str">
        <f>IF(P298="閉","休",IF(O298="","",IF(O298="冬　特別展",IF(OR(N298="土",N298="日",I298=1),"◎",""),"○")))</f>
        <v>◎</v>
      </c>
      <c r="X298" s="32"/>
      <c r="Y298" s="33" t="str">
        <f t="shared" si="295"/>
        <v>○</v>
      </c>
      <c r="Z298" s="32">
        <f>IF(L298="閉","",(IF(AND(M298&gt;=VLOOKUP(M298,データ!$E$3:$G$9,1,TRUE),M298&lt;=VLOOKUP(M298,データ!$E$3:$G$9,2,TRUE)),VLOOKUP(M298,データ!$E$3:$H$9,4,TRUE),0)+IF(AND(M298&gt;=VLOOKUP(M298,データ!$E$14:$G$21,1,TRUE),M298&lt;=VLOOKUP(M298,データ!$E$14:$G$21,2,TRUE)),VLOOKUP(M298,データ!$E$14:$H$21,4,TRUE),0)))</f>
        <v>5</v>
      </c>
      <c r="AA298" s="33" t="str">
        <f t="shared" si="296"/>
        <v>○</v>
      </c>
      <c r="AB298" s="227">
        <f t="shared" si="297"/>
        <v>0.41666666666666669</v>
      </c>
      <c r="AC298" s="227">
        <f t="shared" si="298"/>
        <v>0.70833333333333337</v>
      </c>
      <c r="AD298" s="228" t="str">
        <f>IF(K298=1,IF(ISERROR(VLOOKUP(M298,データ!$A$3:$C$23,2,FALSE)),"",VLOOKUP(M298,データ!$A$3:$C$23,2,FALSE)),(IF(ISERROR(VLOOKUP(M298,データ!$A$3:$C$23,2,FALSE)),"",VLOOKUP(M298,データ!$A$3:$C$23,2,FALSE))))</f>
        <v/>
      </c>
    </row>
    <row r="299" spans="1:30">
      <c r="A299" s="1">
        <f>IF(AND(M299&gt;=VLOOKUP(M299,データ!$K$3:$O$6,1,TRUE),M299&lt;=VLOOKUP(M299,データ!$K$3:$O$6,2,TRUE)),VLOOKUP(M299,データ!$K$3:$O$6,5,TRUE),"")</f>
        <v>1</v>
      </c>
      <c r="B299" s="74">
        <f>IF(AND(M299&gt;=VLOOKUP(M299,データ!$K$3:$O$6,1,TRUE),M299&lt;=VLOOKUP(M299,データ!$K$3:$O$6,2,TRUE)),VLOOKUP(M299,データ!$K$3:$O$6,3,TRUE),"")</f>
        <v>0.41666666666666669</v>
      </c>
      <c r="C299" s="1">
        <f>IF(AND(M299&gt;=VLOOKUP(M299,データ!$K$11:$O$16,1,TRUE),M299&lt;=VLOOKUP(M299,データ!$K$11:$O$16,2,TRUE)),VLOOKUP(M299,データ!$K$11:$O$16,5,TRUE),0)</f>
        <v>0</v>
      </c>
      <c r="D299" s="74" t="str">
        <f>IF(AND(M299&gt;=VLOOKUP(M299,データ!$K$11:$O$16,1,TRUE),M299&lt;=VLOOKUP(M299,データ!$K$11:$O$16,2,TRUE)),VLOOKUP(M299,データ!$K$11:$O$16,3,TRUE),"")</f>
        <v/>
      </c>
      <c r="E299" s="74">
        <f t="shared" si="287"/>
        <v>0.41666666666666669</v>
      </c>
      <c r="F299" s="75">
        <f>VLOOKUP(E299,データ!$K$20:$O$24,5,FALSE)</f>
        <v>0</v>
      </c>
      <c r="G299" s="74">
        <f>IF(AND(M299&gt;=VLOOKUP(M299,データ!$K$3:$O$6,1,TRUE),M299&lt;=VLOOKUP(M299,データ!$K$3:$O$6,2,TRUE)),VLOOKUP(M299,データ!$K$3:$O$6,4,TRUE),"")</f>
        <v>0.70833333333333337</v>
      </c>
      <c r="H299" s="256">
        <f>INDEX(データ!L$21:N$24,MATCH(配置表!E299,データ!K$21:K$24,0),MATCH(配置表!G299,データ!L$20:N$20,0))</f>
        <v>1</v>
      </c>
      <c r="I299" s="52" t="str">
        <f>IF(ISERROR(VLOOKUP(M299,データ!$A$3:$C$20,3,FALSE)),"",VLOOKUP(M299,データ!$A$3:$C$20,3,FALSE))</f>
        <v/>
      </c>
      <c r="J299" s="52">
        <f t="shared" si="288"/>
        <v>1</v>
      </c>
      <c r="K299" s="53">
        <f t="shared" si="299"/>
        <v>1</v>
      </c>
      <c r="L299" s="28" t="str">
        <f t="shared" si="289"/>
        <v>閉</v>
      </c>
      <c r="M299" s="9">
        <f t="shared" si="300"/>
        <v>46020</v>
      </c>
      <c r="N299" s="10" t="str">
        <f t="shared" si="290"/>
        <v>月</v>
      </c>
      <c r="O299" s="63" t="str">
        <f>IF(AND(M299&gt;=VLOOKUP(M299,データ!$E$3:$G$9,1,TRUE),M299&lt;=VLOOKUP(M299,データ!$E$3:$G$9,2,TRUE)),VLOOKUP(M299,データ!$E$3:$G$9,3,TRUE),"")</f>
        <v>冬　特別展</v>
      </c>
      <c r="P299" s="63" t="str">
        <f>IF(AND(M299&gt;=VLOOKUP(M299,データ!$E$14:$G$21,1,TRUE),M299&lt;=VLOOKUP(M299,データ!$E$14:$G$21,2,TRUE)),VLOOKUP(M299,データ!$E$14:$G$21,3,TRUE),"")</f>
        <v>テーマ展</v>
      </c>
      <c r="Q299" s="44" t="str">
        <f t="shared" si="291"/>
        <v>休</v>
      </c>
      <c r="R299" s="32"/>
      <c r="S299" s="33" t="str">
        <f t="shared" si="292"/>
        <v>休</v>
      </c>
      <c r="T299" s="32"/>
      <c r="U299" s="33" t="str">
        <f t="shared" si="293"/>
        <v>休</v>
      </c>
      <c r="V299" s="32"/>
      <c r="W299" s="33" t="str">
        <f t="shared" si="294"/>
        <v>休</v>
      </c>
      <c r="X299" s="32"/>
      <c r="Y299" s="33" t="str">
        <f t="shared" si="295"/>
        <v>休</v>
      </c>
      <c r="Z299" s="32" t="str">
        <f>IF(L299="閉","",(IF(AND(M299&gt;=VLOOKUP(M299,データ!$E$3:$G$9,1,TRUE),M299&lt;=VLOOKUP(M299,データ!$E$3:$G$9,2,TRUE)),VLOOKUP(M299,データ!$E$3:$H$9,4,TRUE),0)+IF(AND(M299&gt;=VLOOKUP(M299,データ!$E$14:$G$21,1,TRUE),M299&lt;=VLOOKUP(M299,データ!$E$14:$G$21,2,TRUE)),VLOOKUP(M299,データ!$E$14:$H$21,4,TRUE),0)))</f>
        <v/>
      </c>
      <c r="AA299" s="33" t="str">
        <f t="shared" si="296"/>
        <v>休</v>
      </c>
      <c r="AB299" s="227" t="str">
        <f t="shared" si="297"/>
        <v/>
      </c>
      <c r="AC299" s="227" t="str">
        <f t="shared" si="298"/>
        <v/>
      </c>
      <c r="AD299" s="228" t="str">
        <f>IF(K299=1,IF(ISERROR(VLOOKUP(M299,データ!$A$3:$C$23,2,FALSE)),"",VLOOKUP(M299,データ!$A$3:$C$23,2,FALSE)),(IF(ISERROR(VLOOKUP(M299,データ!$A$3:$C$23,2,FALSE)),"",VLOOKUP(M299,データ!$A$3:$C$23,2,FALSE))))</f>
        <v/>
      </c>
    </row>
    <row r="300" spans="1:30">
      <c r="A300" s="1">
        <f>IF(AND(M300&gt;=VLOOKUP(M300,データ!$K$3:$O$6,1,TRUE),M300&lt;=VLOOKUP(M300,データ!$K$3:$O$6,2,TRUE)),VLOOKUP(M300,データ!$K$3:$O$6,5,TRUE),"")</f>
        <v>1</v>
      </c>
      <c r="B300" s="74">
        <f>IF(AND(M300&gt;=VLOOKUP(M300,データ!$K$3:$O$6,1,TRUE),M300&lt;=VLOOKUP(M300,データ!$K$3:$O$6,2,TRUE)),VLOOKUP(M300,データ!$K$3:$O$6,3,TRUE),"")</f>
        <v>0.41666666666666669</v>
      </c>
      <c r="C300" s="1">
        <f>IF(AND(M300&gt;=VLOOKUP(M300,データ!$K$11:$O$16,1,TRUE),M300&lt;=VLOOKUP(M300,データ!$K$11:$O$16,2,TRUE)),VLOOKUP(M300,データ!$K$11:$O$16,5,TRUE),0)</f>
        <v>0</v>
      </c>
      <c r="D300" s="74" t="str">
        <f>IF(AND(M300&gt;=VLOOKUP(M300,データ!$K$11:$O$16,1,TRUE),M300&lt;=VLOOKUP(M300,データ!$K$11:$O$16,2,TRUE)),VLOOKUP(M300,データ!$K$11:$O$16,3,TRUE),"")</f>
        <v/>
      </c>
      <c r="E300" s="74">
        <f t="shared" si="287"/>
        <v>0.41666666666666669</v>
      </c>
      <c r="F300" s="75">
        <f>VLOOKUP(E300,データ!$K$20:$O$24,5,FALSE)</f>
        <v>0</v>
      </c>
      <c r="G300" s="74">
        <f>IF(AND(M300&gt;=VLOOKUP(M300,データ!$K$3:$O$6,1,TRUE),M300&lt;=VLOOKUP(M300,データ!$K$3:$O$6,2,TRUE)),VLOOKUP(M300,データ!$K$3:$O$6,4,TRUE),"")</f>
        <v>0.70833333333333337</v>
      </c>
      <c r="H300" s="256">
        <f>INDEX(データ!L$21:N$24,MATCH(配置表!E300,データ!K$21:K$24,0),MATCH(配置表!G300,データ!L$20:N$20,0))</f>
        <v>1</v>
      </c>
      <c r="I300" s="52" t="str">
        <f>IF(ISERROR(VLOOKUP(M300,データ!$A$3:$C$20,3,FALSE)),"",VLOOKUP(M300,データ!$A$3:$C$20,3,FALSE))</f>
        <v/>
      </c>
      <c r="J300" s="52" t="str">
        <f t="shared" si="288"/>
        <v/>
      </c>
      <c r="K300" s="53">
        <f t="shared" si="299"/>
        <v>0</v>
      </c>
      <c r="L300" s="28" t="str">
        <f t="shared" si="289"/>
        <v/>
      </c>
      <c r="M300" s="9">
        <f t="shared" si="300"/>
        <v>46021</v>
      </c>
      <c r="N300" s="10" t="str">
        <f t="shared" si="290"/>
        <v>火</v>
      </c>
      <c r="O300" s="63" t="str">
        <f>IF(AND(M300&gt;=VLOOKUP(M300,データ!$E$3:$G$9,1,TRUE),M300&lt;=VLOOKUP(M300,データ!$E$3:$G$9,2,TRUE)),VLOOKUP(M300,データ!$E$3:$G$9,3,TRUE),"")</f>
        <v>冬　特別展</v>
      </c>
      <c r="P300" s="63" t="str">
        <f>IF(AND(M300&gt;=VLOOKUP(M300,データ!$E$14:$G$21,1,TRUE),M300&lt;=VLOOKUP(M300,データ!$E$14:$G$21,2,TRUE)),VLOOKUP(M300,データ!$E$14:$G$21,3,TRUE),"")</f>
        <v>テーマ展</v>
      </c>
      <c r="Q300" s="45" t="str">
        <f t="shared" si="291"/>
        <v>○</v>
      </c>
      <c r="R300" s="45"/>
      <c r="S300" s="33" t="str">
        <f t="shared" si="292"/>
        <v/>
      </c>
      <c r="T300" s="10"/>
      <c r="U300" s="10" t="str">
        <f t="shared" si="293"/>
        <v>●</v>
      </c>
      <c r="V300" s="32"/>
      <c r="W300" s="33" t="str">
        <f t="shared" si="294"/>
        <v/>
      </c>
      <c r="X300" s="32"/>
      <c r="Y300" s="33" t="str">
        <f t="shared" si="295"/>
        <v>○</v>
      </c>
      <c r="Z300" s="32">
        <f>IF(L300="閉","",(IF(AND(M300&gt;=VLOOKUP(M300,データ!$E$3:$G$9,1,TRUE),M300&lt;=VLOOKUP(M300,データ!$E$3:$G$9,2,TRUE)),VLOOKUP(M300,データ!$E$3:$H$9,4,TRUE),0)+IF(AND(M300&gt;=VLOOKUP(M300,データ!$E$14:$G$21,1,TRUE),M300&lt;=VLOOKUP(M300,データ!$E$14:$G$21,2,TRUE)),VLOOKUP(M300,データ!$E$14:$H$21,4,TRUE),0)))</f>
        <v>5</v>
      </c>
      <c r="AA300" s="33" t="str">
        <f t="shared" si="296"/>
        <v>○</v>
      </c>
      <c r="AB300" s="227">
        <f t="shared" si="297"/>
        <v>0.41666666666666669</v>
      </c>
      <c r="AC300" s="227">
        <f t="shared" si="298"/>
        <v>0.70833333333333337</v>
      </c>
      <c r="AD300" s="228" t="str">
        <f>IF(K300=1,IF(ISERROR(VLOOKUP(M300,データ!$A$3:$C$23,2,FALSE)),"",VLOOKUP(M300,データ!$A$3:$C$23,2,FALSE)),(IF(ISERROR(VLOOKUP(M300,データ!$A$3:$C$23,2,FALSE)),"",VLOOKUP(M300,データ!$A$3:$C$23,2,FALSE))))</f>
        <v/>
      </c>
    </row>
    <row r="301" spans="1:30" ht="12" thickBot="1">
      <c r="A301" s="1">
        <f>IF(AND(M301&gt;=VLOOKUP(M301,データ!$K$3:$O$6,1,TRUE),M301&lt;=VLOOKUP(M301,データ!$K$3:$O$6,2,TRUE)),VLOOKUP(M301,データ!$K$3:$O$6,5,TRUE),"")</f>
        <v>1</v>
      </c>
      <c r="B301" s="74">
        <f>IF(AND(M301&gt;=VLOOKUP(M301,データ!$K$3:$O$6,1,TRUE),M301&lt;=VLOOKUP(M301,データ!$K$3:$O$6,2,TRUE)),VLOOKUP(M301,データ!$K$3:$O$6,3,TRUE),"")</f>
        <v>0.41666666666666669</v>
      </c>
      <c r="C301" s="1">
        <f>IF(AND(M301&gt;=VLOOKUP(M301,データ!$K$11:$O$16,1,TRUE),M301&lt;=VLOOKUP(M301,データ!$K$11:$O$16,2,TRUE)),VLOOKUP(M301,データ!$K$11:$O$16,5,TRUE),0)</f>
        <v>0</v>
      </c>
      <c r="D301" s="74" t="str">
        <f>IF(AND(M301&gt;=VLOOKUP(M301,データ!$K$11:$O$16,1,TRUE),M301&lt;=VLOOKUP(M301,データ!$K$11:$O$16,2,TRUE)),VLOOKUP(M301,データ!$K$11:$O$16,3,TRUE),"")</f>
        <v/>
      </c>
      <c r="E301" s="74">
        <f t="shared" si="287"/>
        <v>0.41666666666666669</v>
      </c>
      <c r="F301" s="75">
        <f>VLOOKUP(E301,データ!$K$20:$O$24,5,FALSE)</f>
        <v>0</v>
      </c>
      <c r="G301" s="74">
        <f>IF(AND(M301&gt;=VLOOKUP(M301,データ!$K$3:$O$6,1,TRUE),M301&lt;=VLOOKUP(M301,データ!$K$3:$O$6,2,TRUE)),VLOOKUP(M301,データ!$K$3:$O$6,4,TRUE),"")</f>
        <v>0.70833333333333337</v>
      </c>
      <c r="H301" s="256">
        <f>INDEX(データ!L$21:N$24,MATCH(配置表!E301,データ!K$21:K$24,0),MATCH(配置表!G301,データ!L$20:N$20,0))</f>
        <v>1</v>
      </c>
      <c r="I301" s="52" t="str">
        <f>IF(ISERROR(VLOOKUP(M301,データ!$A$3:$C$20,3,FALSE)),"",VLOOKUP(M301,データ!$A$3:$C$20,3,FALSE))</f>
        <v/>
      </c>
      <c r="J301" s="52" t="str">
        <f t="shared" si="288"/>
        <v/>
      </c>
      <c r="K301" s="73">
        <v>1</v>
      </c>
      <c r="L301" s="28" t="str">
        <f t="shared" si="289"/>
        <v>閉</v>
      </c>
      <c r="M301" s="29">
        <f t="shared" si="300"/>
        <v>46022</v>
      </c>
      <c r="N301" s="22" t="str">
        <f t="shared" si="290"/>
        <v>水</v>
      </c>
      <c r="O301" s="65" t="str">
        <f>IF(AND(M301&gt;=VLOOKUP(M301,データ!$E$3:$G$9,1,TRUE),M301&lt;=VLOOKUP(M301,データ!$E$3:$G$9,2,TRUE)),VLOOKUP(M301,データ!$E$3:$G$9,3,TRUE),"")</f>
        <v>冬　特別展</v>
      </c>
      <c r="P301" s="65" t="str">
        <f>IF(AND(M301&gt;=VLOOKUP(M301,データ!$E$14:$G$21,1,TRUE),M301&lt;=VLOOKUP(M301,データ!$E$14:$G$21,2,TRUE)),VLOOKUP(M301,データ!$E$14:$G$21,3,TRUE),"")</f>
        <v>テーマ展</v>
      </c>
      <c r="Q301" s="40" t="str">
        <f t="shared" si="291"/>
        <v>休</v>
      </c>
      <c r="R301" s="23"/>
      <c r="S301" s="34" t="str">
        <f t="shared" si="292"/>
        <v>休</v>
      </c>
      <c r="T301" s="23"/>
      <c r="U301" s="34" t="str">
        <f t="shared" si="293"/>
        <v>休</v>
      </c>
      <c r="V301" s="23"/>
      <c r="W301" s="34" t="str">
        <f t="shared" si="294"/>
        <v>休</v>
      </c>
      <c r="X301" s="23"/>
      <c r="Y301" s="34" t="str">
        <f t="shared" si="295"/>
        <v>休</v>
      </c>
      <c r="Z301" s="23" t="str">
        <f>IF(L301="閉","",(IF(AND(M301&gt;=VLOOKUP(M301,データ!$E$3:$G$9,1,TRUE),M301&lt;=VLOOKUP(M301,データ!$E$3:$G$9,2,TRUE)),VLOOKUP(M301,データ!$E$3:$H$9,4,TRUE),0)+IF(AND(M301&gt;=VLOOKUP(M301,データ!$E$14:$G$21,1,TRUE),M301&lt;=VLOOKUP(M301,データ!$E$14:$G$21,2,TRUE)),VLOOKUP(M301,データ!$E$14:$H$21,4,TRUE),0)))</f>
        <v/>
      </c>
      <c r="AA301" s="34" t="str">
        <f t="shared" si="296"/>
        <v>休</v>
      </c>
      <c r="AB301" s="236" t="s">
        <v>33</v>
      </c>
      <c r="AC301" s="233" t="str">
        <f t="shared" si="298"/>
        <v/>
      </c>
      <c r="AD301" s="231" t="str">
        <f>IF(K301=1,IF(ISERROR(VLOOKUP(M301,データ!$A$3:$C$23,2,FALSE)),"",VLOOKUP(M301,データ!$A$3:$C$23,2,FALSE)),(IF(ISERROR(VLOOKUP(M301,データ!$A$3:$C$23,2,FALSE)),"",VLOOKUP(M301,データ!$A$3:$C$23,2,FALSE))))</f>
        <v/>
      </c>
    </row>
    <row r="302" spans="1:30" ht="14.25" thickBot="1">
      <c r="H302" s="256"/>
      <c r="I302" s="52"/>
      <c r="J302" s="52"/>
      <c r="K302" s="53"/>
      <c r="L302" s="28" t="str">
        <f t="shared" si="286"/>
        <v/>
      </c>
      <c r="M302" s="57"/>
      <c r="N302" s="50"/>
      <c r="O302" s="50"/>
      <c r="P302" s="50"/>
      <c r="Q302" s="50"/>
      <c r="R302" s="50"/>
      <c r="S302" s="50"/>
      <c r="T302" s="37"/>
      <c r="U302" s="37"/>
      <c r="V302" s="50"/>
      <c r="W302" s="50"/>
      <c r="X302" s="50"/>
      <c r="Y302" s="50"/>
      <c r="Z302" s="50"/>
      <c r="AA302" s="50"/>
      <c r="AB302" s="224" t="str">
        <f>IF(ISERROR(VLOOKUP(M302,データ!$A$3:$C$23,2,FALSE)),"",VLOOKUP(M302,データ!$A$3:$C$23,2,FALSE))</f>
        <v/>
      </c>
      <c r="AC302" s="2"/>
    </row>
    <row r="303" spans="1:30" customFormat="1" ht="27.75" customHeight="1" thickBot="1">
      <c r="H303" s="257"/>
      <c r="I303" s="52"/>
      <c r="J303" s="52"/>
      <c r="K303" s="53"/>
      <c r="L303" s="28" t="str">
        <f t="shared" si="286"/>
        <v/>
      </c>
      <c r="M303" s="58"/>
      <c r="N303" s="59"/>
      <c r="O303" s="42" t="s">
        <v>5</v>
      </c>
      <c r="P303" s="42" t="s">
        <v>6</v>
      </c>
      <c r="Q303" s="49" t="s">
        <v>8</v>
      </c>
      <c r="R303" s="354" t="s">
        <v>13</v>
      </c>
      <c r="S303" s="355"/>
      <c r="T303" s="354" t="s">
        <v>14</v>
      </c>
      <c r="U303" s="355"/>
      <c r="V303" s="354" t="s">
        <v>9</v>
      </c>
      <c r="W303" s="355"/>
      <c r="X303" s="354" t="s">
        <v>10</v>
      </c>
      <c r="Y303" s="355"/>
      <c r="Z303" s="354" t="s">
        <v>1</v>
      </c>
      <c r="AA303" s="355"/>
      <c r="AB303" s="38" t="s">
        <v>114</v>
      </c>
      <c r="AC303" s="38" t="s">
        <v>35</v>
      </c>
      <c r="AD303" s="38" t="s">
        <v>116</v>
      </c>
    </row>
    <row r="304" spans="1:30">
      <c r="A304" s="1">
        <f>IF(AND(M304&gt;=VLOOKUP(M304,データ!$K$3:$O$6,1,TRUE),M304&lt;=VLOOKUP(M304,データ!$K$3:$O$6,2,TRUE)),VLOOKUP(M304,データ!$K$3:$O$6,5,TRUE),"")</f>
        <v>1</v>
      </c>
      <c r="B304" s="74">
        <f>IF(AND(M304&gt;=VLOOKUP(M304,データ!$K$3:$O$6,1,TRUE),M304&lt;=VLOOKUP(M304,データ!$K$3:$O$6,2,TRUE)),VLOOKUP(M304,データ!$K$3:$O$6,3,TRUE),"")</f>
        <v>0.41666666666666669</v>
      </c>
      <c r="C304" s="1">
        <f>IF(AND(M304&gt;=VLOOKUP(M304,データ!$K$11:$O$16,1,TRUE),M304&lt;=VLOOKUP(M304,データ!$K$11:$O$16,2,TRUE)),VLOOKUP(M304,データ!$K$11:$O$16,5,TRUE),0)</f>
        <v>0</v>
      </c>
      <c r="D304" s="74" t="str">
        <f>IF(AND(M304&gt;=VLOOKUP(M304,データ!$K$11:$O$16,1,TRUE),M304&lt;=VLOOKUP(M304,データ!$K$11:$O$16,2,TRUE)),VLOOKUP(M304,データ!$K$11:$O$16,3,TRUE),"")</f>
        <v/>
      </c>
      <c r="E304" s="74">
        <f t="shared" ref="E304:E334" si="307">IF(C304=2,IF(OR(N304="土",N304="日"),D304,B304),IF(C304=1,D304,B304))</f>
        <v>0.41666666666666669</v>
      </c>
      <c r="F304" s="75">
        <f>VLOOKUP(E304,データ!$K$20:$O$24,5,FALSE)</f>
        <v>0</v>
      </c>
      <c r="G304" s="74">
        <f>IF(AND(M304&gt;=VLOOKUP(M304,データ!$K$3:$O$6,1,TRUE),M304&lt;=VLOOKUP(M304,データ!$K$3:$O$6,2,TRUE)),VLOOKUP(M304,データ!$K$3:$O$6,4,TRUE),"")</f>
        <v>0.70833333333333337</v>
      </c>
      <c r="H304" s="256">
        <f>INDEX(データ!L$21:N$24,MATCH(配置表!E304,データ!K$21:K$24,0),MATCH(配置表!G304,データ!L$20:N$20,0))</f>
        <v>1</v>
      </c>
      <c r="I304" s="52">
        <f>IF(ISERROR(VLOOKUP(M304,データ!$A$3:$C$20,3,FALSE)),"",VLOOKUP(M304,データ!$A$3:$C$20,3,FALSE))</f>
        <v>1</v>
      </c>
      <c r="J304" s="52" t="str">
        <f t="shared" ref="J304:J334" si="308">IF(N304="月",1,"")</f>
        <v/>
      </c>
      <c r="K304" s="136">
        <v>1</v>
      </c>
      <c r="L304" s="28" t="str">
        <f t="shared" ref="L304:L334" si="309">IF(AND(O304="",P304=""),"閉",IF(K304=1,"閉",""))</f>
        <v>閉</v>
      </c>
      <c r="M304" s="25">
        <f>M301+1</f>
        <v>46023</v>
      </c>
      <c r="N304" s="24" t="str">
        <f t="shared" ref="N304:N334" si="310">TEXT(WEEKDAY(M304,1),"aaa")</f>
        <v>木</v>
      </c>
      <c r="O304" s="70" t="str">
        <f>IF(AND(M304&gt;=VLOOKUP(M304,データ!$E$3:$G$9,1,TRUE),M304&lt;=VLOOKUP(M304,データ!$E$3:$G$9,2,TRUE)),VLOOKUP(M304,データ!$E$3:$G$9,3,TRUE),"")</f>
        <v>冬　特別展</v>
      </c>
      <c r="P304" s="70" t="str">
        <f>IF(AND(M304&gt;=VLOOKUP(M304,データ!$E$14:$G$21,1,TRUE),M304&lt;=VLOOKUP(M304,データ!$E$14:$G$21,2,TRUE)),VLOOKUP(M304,データ!$E$14:$G$21,3,TRUE),"")</f>
        <v>テーマ展</v>
      </c>
      <c r="Q304" s="44" t="str">
        <f t="shared" ref="Q304:Q334" si="311">IF(L304="閉","休","○")</f>
        <v>休</v>
      </c>
      <c r="R304" s="35"/>
      <c r="S304" s="47" t="str">
        <f t="shared" ref="S304:S333" si="312">IF(L304="閉","休",IF(O304="","",IF(O304="冬　特別展",IF(OR(N304="土",N304="日",I304=1),"○",""),"○")))</f>
        <v>休</v>
      </c>
      <c r="T304" s="35"/>
      <c r="U304" s="47" t="str">
        <f t="shared" ref="U304:U334" si="313">IF(L304="閉","休",IF(S304="","●","●"))</f>
        <v>休</v>
      </c>
      <c r="V304" s="35"/>
      <c r="W304" s="47" t="str">
        <f t="shared" ref="W304:W333" si="314">IF(L304="閉","休",IF(O304="","",IF(OR(N304="土",N304="日",I304=1),IF(OR(O304="ダミー　特別展",O304="ダミー　特別展"),"◎",IF(OR(O304="夏　特別展",O304="秋　特別展",O304="春　特別展"),"○","")),"")))</f>
        <v>休</v>
      </c>
      <c r="X304" s="35"/>
      <c r="Y304" s="47" t="str">
        <f t="shared" ref="Y304:Y334" si="315">IF(L304="閉","休",IF(H304=1,"○",IF(H304=2,"●","Err")))</f>
        <v>休</v>
      </c>
      <c r="Z304" s="35" t="str">
        <f>IF(L304="閉","",(IF(AND(M304&gt;=VLOOKUP(M304,データ!$E$3:$G$9,1,TRUE),M304&lt;=VLOOKUP(M304,データ!$E$3:$G$9,2,TRUE)),VLOOKUP(M304,データ!$E$3:$H$9,4,TRUE),0)+IF(AND(M304&gt;=VLOOKUP(M304,データ!$E$14:$G$21,1,TRUE),M304&lt;=VLOOKUP(M304,データ!$E$14:$G$21,2,TRUE)),VLOOKUP(M304,データ!$E$14:$H$21,4,TRUE),0)))</f>
        <v/>
      </c>
      <c r="AA304" s="47" t="str">
        <f t="shared" ref="AA304:AA334" si="316">IF(L304="閉","休",IF(O304="","△",IF(H304=1,"○",IF(H304=2,"●","Err"))))</f>
        <v>休</v>
      </c>
      <c r="AB304" s="234" t="s">
        <v>33</v>
      </c>
      <c r="AC304" s="232" t="str">
        <f t="shared" ref="AC304:AC334" si="317">IF(K304=1,"",G304)</f>
        <v/>
      </c>
      <c r="AD304" s="226" t="str">
        <f>IF(K304=1,IF(ISERROR(VLOOKUP(M304,データ!$A$3:$C$23,2,FALSE)),"",VLOOKUP(M304,データ!$A$3:$C$23,2,FALSE)),(IF(ISERROR(VLOOKUP(M304,データ!$A$3:$C$23,2,FALSE)),"",VLOOKUP(M304,データ!$A$3:$C$23,2,FALSE))))</f>
        <v>元日</v>
      </c>
    </row>
    <row r="305" spans="1:30">
      <c r="A305" s="1">
        <f>IF(AND(M305&gt;=VLOOKUP(M305,データ!$K$3:$O$6,1,TRUE),M305&lt;=VLOOKUP(M305,データ!$K$3:$O$6,2,TRUE)),VLOOKUP(M305,データ!$K$3:$O$6,5,TRUE),"")</f>
        <v>1</v>
      </c>
      <c r="B305" s="74">
        <f>IF(AND(M305&gt;=VLOOKUP(M305,データ!$K$3:$O$6,1,TRUE),M305&lt;=VLOOKUP(M305,データ!$K$3:$O$6,2,TRUE)),VLOOKUP(M305,データ!$K$3:$O$6,3,TRUE),"")</f>
        <v>0.41666666666666669</v>
      </c>
      <c r="C305" s="1">
        <f>IF(AND(M305&gt;=VLOOKUP(M305,データ!$K$11:$O$16,1,TRUE),M305&lt;=VLOOKUP(M305,データ!$K$11:$O$16,2,TRUE)),VLOOKUP(M305,データ!$K$11:$O$16,5,TRUE),0)</f>
        <v>0</v>
      </c>
      <c r="D305" s="74" t="str">
        <f>IF(AND(M305&gt;=VLOOKUP(M305,データ!$K$11:$O$16,1,TRUE),M305&lt;=VLOOKUP(M305,データ!$K$11:$O$16,2,TRUE)),VLOOKUP(M305,データ!$K$11:$O$16,3,TRUE),"")</f>
        <v/>
      </c>
      <c r="E305" s="74">
        <f t="shared" si="307"/>
        <v>0.41666666666666669</v>
      </c>
      <c r="F305" s="75">
        <f>VLOOKUP(E305,データ!$K$20:$O$24,5,FALSE)</f>
        <v>0</v>
      </c>
      <c r="G305" s="74">
        <f>IF(AND(M305&gt;=VLOOKUP(M305,データ!$K$3:$O$6,1,TRUE),M305&lt;=VLOOKUP(M305,データ!$K$3:$O$6,2,TRUE)),VLOOKUP(M305,データ!$K$3:$O$6,4,TRUE),"")</f>
        <v>0.70833333333333337</v>
      </c>
      <c r="H305" s="256">
        <f>INDEX(データ!L$21:N$24,MATCH(配置表!E305,データ!K$21:K$24,0),MATCH(配置表!G305,データ!L$20:N$20,0))</f>
        <v>1</v>
      </c>
      <c r="I305" s="52" t="str">
        <f>IF(ISERROR(VLOOKUP(M305,データ!$A$3:$C$20,3,FALSE)),"",VLOOKUP(M305,データ!$A$3:$C$20,3,FALSE))</f>
        <v/>
      </c>
      <c r="J305" s="52" t="str">
        <f t="shared" si="308"/>
        <v/>
      </c>
      <c r="K305" s="53">
        <f>IF(K304=2,IF(I305=1,2,1),IF(I305=1,IF(J305=1,2,0),IF(J305=1,1,0)))</f>
        <v>0</v>
      </c>
      <c r="L305" s="28" t="str">
        <f t="shared" si="309"/>
        <v/>
      </c>
      <c r="M305" s="9">
        <f>M304+1</f>
        <v>46024</v>
      </c>
      <c r="N305" s="10" t="str">
        <f t="shared" si="310"/>
        <v>金</v>
      </c>
      <c r="O305" s="63" t="str">
        <f>IF(AND(M305&gt;=VLOOKUP(M305,データ!$E$3:$G$9,1,TRUE),M305&lt;=VLOOKUP(M305,データ!$E$3:$G$9,2,TRUE)),VLOOKUP(M305,データ!$E$3:$G$9,3,TRUE),"")</f>
        <v>冬　特別展</v>
      </c>
      <c r="P305" s="63" t="str">
        <f>IF(AND(M305&gt;=VLOOKUP(M305,データ!$E$14:$G$21,1,TRUE),M305&lt;=VLOOKUP(M305,データ!$E$14:$G$21,2,TRUE)),VLOOKUP(M305,データ!$E$14:$G$21,3,TRUE),"")</f>
        <v>テーマ展</v>
      </c>
      <c r="Q305" s="45" t="str">
        <f t="shared" si="311"/>
        <v>○</v>
      </c>
      <c r="R305" s="45"/>
      <c r="S305" s="33" t="str">
        <f t="shared" si="312"/>
        <v/>
      </c>
      <c r="T305" s="10"/>
      <c r="U305" s="10" t="str">
        <f t="shared" si="313"/>
        <v>●</v>
      </c>
      <c r="V305" s="32"/>
      <c r="W305" s="33" t="str">
        <f t="shared" si="314"/>
        <v/>
      </c>
      <c r="X305" s="32"/>
      <c r="Y305" s="33" t="str">
        <f t="shared" si="315"/>
        <v>○</v>
      </c>
      <c r="Z305" s="32">
        <f>IF(L305="閉","",(IF(AND(M305&gt;=VLOOKUP(M305,データ!$E$3:$G$9,1,TRUE),M305&lt;=VLOOKUP(M305,データ!$E$3:$G$9,2,TRUE)),VLOOKUP(M305,データ!$E$3:$H$9,4,TRUE),0)+IF(AND(M305&gt;=VLOOKUP(M305,データ!$E$14:$G$21,1,TRUE),M305&lt;=VLOOKUP(M305,データ!$E$14:$G$21,2,TRUE)),VLOOKUP(M305,データ!$E$14:$H$21,4,TRUE),0)))</f>
        <v>5</v>
      </c>
      <c r="AA305" s="33" t="str">
        <f t="shared" si="316"/>
        <v>○</v>
      </c>
      <c r="AB305" s="227">
        <f t="shared" ref="AB305:AB334" si="318">IF(K305=1,"",E305)</f>
        <v>0.41666666666666669</v>
      </c>
      <c r="AC305" s="227">
        <f t="shared" si="317"/>
        <v>0.70833333333333337</v>
      </c>
      <c r="AD305" s="228" t="str">
        <f>IF(K305=1,IF(ISERROR(VLOOKUP(M305,データ!$A$3:$C$23,2,FALSE)),"",VLOOKUP(M305,データ!$A$3:$C$23,2,FALSE)),(IF(ISERROR(VLOOKUP(M305,データ!$A$3:$C$23,2,FALSE)),"",VLOOKUP(M305,データ!$A$3:$C$23,2,FALSE))))</f>
        <v/>
      </c>
    </row>
    <row r="306" spans="1:30">
      <c r="A306" s="1">
        <f>IF(AND(M306&gt;=VLOOKUP(M306,データ!$K$3:$O$6,1,TRUE),M306&lt;=VLOOKUP(M306,データ!$K$3:$O$6,2,TRUE)),VLOOKUP(M306,データ!$K$3:$O$6,5,TRUE),"")</f>
        <v>1</v>
      </c>
      <c r="B306" s="74">
        <f>IF(AND(M306&gt;=VLOOKUP(M306,データ!$K$3:$O$6,1,TRUE),M306&lt;=VLOOKUP(M306,データ!$K$3:$O$6,2,TRUE)),VLOOKUP(M306,データ!$K$3:$O$6,3,TRUE),"")</f>
        <v>0.41666666666666669</v>
      </c>
      <c r="C306" s="1">
        <f>IF(AND(M306&gt;=VLOOKUP(M306,データ!$K$11:$O$16,1,TRUE),M306&lt;=VLOOKUP(M306,データ!$K$11:$O$16,2,TRUE)),VLOOKUP(M306,データ!$K$11:$O$16,5,TRUE),0)</f>
        <v>0</v>
      </c>
      <c r="D306" s="74" t="str">
        <f>IF(AND(M306&gt;=VLOOKUP(M306,データ!$K$11:$O$16,1,TRUE),M306&lt;=VLOOKUP(M306,データ!$K$11:$O$16,2,TRUE)),VLOOKUP(M306,データ!$K$11:$O$16,3,TRUE),"")</f>
        <v/>
      </c>
      <c r="E306" s="74">
        <f t="shared" si="307"/>
        <v>0.41666666666666669</v>
      </c>
      <c r="F306" s="75">
        <f>VLOOKUP(E306,データ!$K$20:$O$24,5,FALSE)</f>
        <v>0</v>
      </c>
      <c r="G306" s="74">
        <f>IF(AND(M306&gt;=VLOOKUP(M306,データ!$K$3:$O$6,1,TRUE),M306&lt;=VLOOKUP(M306,データ!$K$3:$O$6,2,TRUE)),VLOOKUP(M306,データ!$K$3:$O$6,4,TRUE),"")</f>
        <v>0.70833333333333337</v>
      </c>
      <c r="H306" s="256">
        <f>INDEX(データ!L$21:N$24,MATCH(配置表!E306,データ!K$21:K$24,0),MATCH(配置表!G306,データ!L$20:N$20,0))</f>
        <v>1</v>
      </c>
      <c r="I306" s="52" t="str">
        <f>IF(ISERROR(VLOOKUP(M306,データ!$A$3:$C$20,3,FALSE)),"",VLOOKUP(M306,データ!$A$3:$C$20,3,FALSE))</f>
        <v/>
      </c>
      <c r="J306" s="52" t="str">
        <f t="shared" si="308"/>
        <v/>
      </c>
      <c r="K306" s="53">
        <f>IF(K305=2,IF(I306=1,2,1),IF(I306=1,IF(J306=1,2,0),IF(J306=1,1,0)))</f>
        <v>0</v>
      </c>
      <c r="L306" s="28" t="str">
        <f t="shared" si="309"/>
        <v/>
      </c>
      <c r="M306" s="9">
        <f t="shared" ref="M306:M334" si="319">M305+1</f>
        <v>46025</v>
      </c>
      <c r="N306" s="10" t="str">
        <f t="shared" si="310"/>
        <v>土</v>
      </c>
      <c r="O306" s="63" t="str">
        <f>IF(AND(M306&gt;=VLOOKUP(M306,データ!$E$3:$G$9,1,TRUE),M306&lt;=VLOOKUP(M306,データ!$E$3:$G$9,2,TRUE)),VLOOKUP(M306,データ!$E$3:$G$9,3,TRUE),"")</f>
        <v>冬　特別展</v>
      </c>
      <c r="P306" s="63" t="str">
        <f>IF(AND(M306&gt;=VLOOKUP(M306,データ!$E$14:$G$21,1,TRUE),M306&lt;=VLOOKUP(M306,データ!$E$14:$G$21,2,TRUE)),VLOOKUP(M306,データ!$E$14:$G$21,3,TRUE),"")</f>
        <v>テーマ展</v>
      </c>
      <c r="Q306" s="45" t="str">
        <f t="shared" si="311"/>
        <v>○</v>
      </c>
      <c r="R306" s="45"/>
      <c r="S306" s="33" t="str">
        <f t="shared" ref="S306:S307" si="320">IF(H306="閉","休",IF(K306="","",IF(OR(J306="土",J306="日",E306=1),IF(OR(K306="ダミー　特別展",K306="ダミー　特別展"),"◎",IF(OR(K306="夏　特別展",K306="秋　特別展",K306="春　特別展"),"○","")),"")))</f>
        <v/>
      </c>
      <c r="T306" s="45"/>
      <c r="U306" s="33" t="str">
        <f t="shared" si="313"/>
        <v>●</v>
      </c>
      <c r="V306" s="32"/>
      <c r="W306" s="33" t="str">
        <f>IF(P306="閉","休",IF(O306="","",IF(O306="冬　特別展",IF(OR(N306="土",N306="日",M306=1),"◎",""),"○")))</f>
        <v>◎</v>
      </c>
      <c r="X306" s="32"/>
      <c r="Y306" s="33" t="str">
        <f t="shared" si="315"/>
        <v>○</v>
      </c>
      <c r="Z306" s="32">
        <f>IF(L306="閉","",(IF(AND(M306&gt;=VLOOKUP(M306,データ!$E$3:$G$9,1,TRUE),M306&lt;=VLOOKUP(M306,データ!$E$3:$G$9,2,TRUE)),VLOOKUP(M306,データ!$E$3:$H$9,4,TRUE),0)+IF(AND(M306&gt;=VLOOKUP(M306,データ!$E$14:$G$21,1,TRUE),M306&lt;=VLOOKUP(M306,データ!$E$14:$G$21,2,TRUE)),VLOOKUP(M306,データ!$E$14:$H$21,4,TRUE),0)))</f>
        <v>5</v>
      </c>
      <c r="AA306" s="33" t="str">
        <f t="shared" si="316"/>
        <v>○</v>
      </c>
      <c r="AB306" s="227">
        <f t="shared" si="318"/>
        <v>0.41666666666666669</v>
      </c>
      <c r="AC306" s="227">
        <f t="shared" si="317"/>
        <v>0.70833333333333337</v>
      </c>
      <c r="AD306" s="228" t="str">
        <f>IF(K306=1,IF(ISERROR(VLOOKUP(M306,データ!$A$3:$C$23,2,FALSE)),"",VLOOKUP(M306,データ!$A$3:$C$23,2,FALSE)),(IF(ISERROR(VLOOKUP(M306,データ!$A$3:$C$23,2,FALSE)),"",VLOOKUP(M306,データ!$A$3:$C$23,2,FALSE))))</f>
        <v/>
      </c>
    </row>
    <row r="307" spans="1:30">
      <c r="A307" s="1">
        <f>IF(AND(M307&gt;=VLOOKUP(M307,データ!$K$3:$O$6,1,TRUE),M307&lt;=VLOOKUP(M307,データ!$K$3:$O$6,2,TRUE)),VLOOKUP(M307,データ!$K$3:$O$6,5,TRUE),"")</f>
        <v>1</v>
      </c>
      <c r="B307" s="74">
        <f>IF(AND(M307&gt;=VLOOKUP(M307,データ!$K$3:$O$6,1,TRUE),M307&lt;=VLOOKUP(M307,データ!$K$3:$O$6,2,TRUE)),VLOOKUP(M307,データ!$K$3:$O$6,3,TRUE),"")</f>
        <v>0.41666666666666669</v>
      </c>
      <c r="C307" s="1">
        <f>IF(AND(M307&gt;=VLOOKUP(M307,データ!$K$11:$O$16,1,TRUE),M307&lt;=VLOOKUP(M307,データ!$K$11:$O$16,2,TRUE)),VLOOKUP(M307,データ!$K$11:$O$16,5,TRUE),0)</f>
        <v>0</v>
      </c>
      <c r="D307" s="74" t="str">
        <f>IF(AND(M307&gt;=VLOOKUP(M307,データ!$K$11:$O$16,1,TRUE),M307&lt;=VLOOKUP(M307,データ!$K$11:$O$16,2,TRUE)),VLOOKUP(M307,データ!$K$11:$O$16,3,TRUE),"")</f>
        <v/>
      </c>
      <c r="E307" s="74">
        <f t="shared" si="307"/>
        <v>0.41666666666666669</v>
      </c>
      <c r="F307" s="75">
        <f>VLOOKUP(E307,データ!$K$20:$O$24,5,FALSE)</f>
        <v>0</v>
      </c>
      <c r="G307" s="74">
        <f>IF(AND(M307&gt;=VLOOKUP(M307,データ!$K$3:$O$6,1,TRUE),M307&lt;=VLOOKUP(M307,データ!$K$3:$O$6,2,TRUE)),VLOOKUP(M307,データ!$K$3:$O$6,4,TRUE),"")</f>
        <v>0.70833333333333337</v>
      </c>
      <c r="H307" s="256">
        <f>INDEX(データ!L$21:N$24,MATCH(配置表!E307,データ!K$21:K$24,0),MATCH(配置表!G307,データ!L$20:N$20,0))</f>
        <v>1</v>
      </c>
      <c r="I307" s="52" t="str">
        <f>IF(ISERROR(VLOOKUP(M307,データ!$A$3:$C$20,3,FALSE)),"",VLOOKUP(M307,データ!$A$3:$C$20,3,FALSE))</f>
        <v/>
      </c>
      <c r="J307" s="52" t="str">
        <f t="shared" si="308"/>
        <v/>
      </c>
      <c r="K307" s="53">
        <f t="shared" ref="K307:K334" si="321">IF(K306=2,IF(I307=1,2,1),IF(I307=1,IF(J307=1,2,0),IF(J307=1,1,0)))</f>
        <v>0</v>
      </c>
      <c r="L307" s="28" t="str">
        <f t="shared" si="309"/>
        <v/>
      </c>
      <c r="M307" s="9">
        <f t="shared" si="319"/>
        <v>46026</v>
      </c>
      <c r="N307" s="10" t="str">
        <f t="shared" si="310"/>
        <v>日</v>
      </c>
      <c r="O307" s="63" t="str">
        <f>IF(AND(M307&gt;=VLOOKUP(M307,データ!$E$3:$G$9,1,TRUE),M307&lt;=VLOOKUP(M307,データ!$E$3:$G$9,2,TRUE)),VLOOKUP(M307,データ!$E$3:$G$9,3,TRUE),"")</f>
        <v>冬　特別展</v>
      </c>
      <c r="P307" s="63" t="str">
        <f>IF(AND(M307&gt;=VLOOKUP(M307,データ!$E$14:$G$21,1,TRUE),M307&lt;=VLOOKUP(M307,データ!$E$14:$G$21,2,TRUE)),VLOOKUP(M307,データ!$E$14:$G$21,3,TRUE),"")</f>
        <v>テーマ展</v>
      </c>
      <c r="Q307" s="45" t="str">
        <f t="shared" si="311"/>
        <v>○</v>
      </c>
      <c r="R307" s="45"/>
      <c r="S307" s="33" t="str">
        <f t="shared" si="320"/>
        <v/>
      </c>
      <c r="T307" s="45"/>
      <c r="U307" s="33" t="str">
        <f t="shared" si="313"/>
        <v>●</v>
      </c>
      <c r="V307" s="32"/>
      <c r="W307" s="33" t="str">
        <f>IF(P307="閉","休",IF(O307="","",IF(O307="冬　特別展",IF(OR(N307="土",N307="日",M307=1),"◎",""),"○")))</f>
        <v>◎</v>
      </c>
      <c r="X307" s="32"/>
      <c r="Y307" s="33" t="str">
        <f t="shared" si="315"/>
        <v>○</v>
      </c>
      <c r="Z307" s="32">
        <f>IF(L307="閉","",(IF(AND(M307&gt;=VLOOKUP(M307,データ!$E$3:$G$9,1,TRUE),M307&lt;=VLOOKUP(M307,データ!$E$3:$G$9,2,TRUE)),VLOOKUP(M307,データ!$E$3:$H$9,4,TRUE),0)+IF(AND(M307&gt;=VLOOKUP(M307,データ!$E$14:$G$21,1,TRUE),M307&lt;=VLOOKUP(M307,データ!$E$14:$G$21,2,TRUE)),VLOOKUP(M307,データ!$E$14:$H$21,4,TRUE),0)))</f>
        <v>5</v>
      </c>
      <c r="AA307" s="33" t="str">
        <f t="shared" si="316"/>
        <v>○</v>
      </c>
      <c r="AB307" s="227">
        <f t="shared" si="318"/>
        <v>0.41666666666666669</v>
      </c>
      <c r="AC307" s="227">
        <f t="shared" si="317"/>
        <v>0.70833333333333337</v>
      </c>
      <c r="AD307" s="228" t="str">
        <f>IF(K307=1,IF(ISERROR(VLOOKUP(M307,データ!$A$3:$C$23,2,FALSE)),"",VLOOKUP(M307,データ!$A$3:$C$23,2,FALSE)),(IF(ISERROR(VLOOKUP(M307,データ!$A$3:$C$23,2,FALSE)),"",VLOOKUP(M307,データ!$A$3:$C$23,2,FALSE))))</f>
        <v/>
      </c>
    </row>
    <row r="308" spans="1:30">
      <c r="A308" s="1">
        <f>IF(AND(M308&gt;=VLOOKUP(M308,データ!$K$3:$O$6,1,TRUE),M308&lt;=VLOOKUP(M308,データ!$K$3:$O$6,2,TRUE)),VLOOKUP(M308,データ!$K$3:$O$6,5,TRUE),"")</f>
        <v>1</v>
      </c>
      <c r="B308" s="74">
        <f>IF(AND(M308&gt;=VLOOKUP(M308,データ!$K$3:$O$6,1,TRUE),M308&lt;=VLOOKUP(M308,データ!$K$3:$O$6,2,TRUE)),VLOOKUP(M308,データ!$K$3:$O$6,3,TRUE),"")</f>
        <v>0.41666666666666669</v>
      </c>
      <c r="C308" s="1">
        <f>IF(AND(M308&gt;=VLOOKUP(M308,データ!$K$11:$O$16,1,TRUE),M308&lt;=VLOOKUP(M308,データ!$K$11:$O$16,2,TRUE)),VLOOKUP(M308,データ!$K$11:$O$16,5,TRUE),0)</f>
        <v>0</v>
      </c>
      <c r="D308" s="74" t="str">
        <f>IF(AND(M308&gt;=VLOOKUP(M308,データ!$K$11:$O$16,1,TRUE),M308&lt;=VLOOKUP(M308,データ!$K$11:$O$16,2,TRUE)),VLOOKUP(M308,データ!$K$11:$O$16,3,TRUE),"")</f>
        <v/>
      </c>
      <c r="E308" s="74">
        <f t="shared" si="307"/>
        <v>0.41666666666666669</v>
      </c>
      <c r="F308" s="75">
        <f>VLOOKUP(E308,データ!$K$20:$O$24,5,FALSE)</f>
        <v>0</v>
      </c>
      <c r="G308" s="74">
        <f>IF(AND(M308&gt;=VLOOKUP(M308,データ!$K$3:$O$6,1,TRUE),M308&lt;=VLOOKUP(M308,データ!$K$3:$O$6,2,TRUE)),VLOOKUP(M308,データ!$K$3:$O$6,4,TRUE),"")</f>
        <v>0.70833333333333337</v>
      </c>
      <c r="H308" s="256">
        <f>INDEX(データ!L$21:N$24,MATCH(配置表!E308,データ!K$21:K$24,0),MATCH(配置表!G308,データ!L$20:N$20,0))</f>
        <v>1</v>
      </c>
      <c r="I308" s="52" t="str">
        <f>IF(ISERROR(VLOOKUP(M308,データ!$A$3:$C$20,3,FALSE)),"",VLOOKUP(M308,データ!$A$3:$C$20,3,FALSE))</f>
        <v/>
      </c>
      <c r="J308" s="52">
        <f t="shared" si="308"/>
        <v>1</v>
      </c>
      <c r="K308" s="53">
        <f t="shared" si="321"/>
        <v>1</v>
      </c>
      <c r="L308" s="28" t="str">
        <f t="shared" si="309"/>
        <v>閉</v>
      </c>
      <c r="M308" s="9">
        <f t="shared" si="319"/>
        <v>46027</v>
      </c>
      <c r="N308" s="10" t="str">
        <f t="shared" si="310"/>
        <v>月</v>
      </c>
      <c r="O308" s="63" t="str">
        <f>IF(AND(M308&gt;=VLOOKUP(M308,データ!$E$3:$G$9,1,TRUE),M308&lt;=VLOOKUP(M308,データ!$E$3:$G$9,2,TRUE)),VLOOKUP(M308,データ!$E$3:$G$9,3,TRUE),"")</f>
        <v>冬　特別展</v>
      </c>
      <c r="P308" s="63" t="str">
        <f>IF(AND(M308&gt;=VLOOKUP(M308,データ!$E$14:$G$21,1,TRUE),M308&lt;=VLOOKUP(M308,データ!$E$14:$G$21,2,TRUE)),VLOOKUP(M308,データ!$E$14:$G$21,3,TRUE),"")</f>
        <v>テーマ展</v>
      </c>
      <c r="Q308" s="44" t="str">
        <f t="shared" si="311"/>
        <v>休</v>
      </c>
      <c r="R308" s="32"/>
      <c r="S308" s="33" t="str">
        <f t="shared" si="312"/>
        <v>休</v>
      </c>
      <c r="T308" s="32"/>
      <c r="U308" s="33" t="str">
        <f t="shared" si="313"/>
        <v>休</v>
      </c>
      <c r="V308" s="32"/>
      <c r="W308" s="33" t="str">
        <f t="shared" si="314"/>
        <v>休</v>
      </c>
      <c r="X308" s="32"/>
      <c r="Y308" s="33" t="str">
        <f t="shared" si="315"/>
        <v>休</v>
      </c>
      <c r="Z308" s="32" t="str">
        <f>IF(L308="閉","",(IF(AND(M308&gt;=VLOOKUP(M308,データ!$E$3:$G$9,1,TRUE),M308&lt;=VLOOKUP(M308,データ!$E$3:$G$9,2,TRUE)),VLOOKUP(M308,データ!$E$3:$H$9,4,TRUE),0)+IF(AND(M308&gt;=VLOOKUP(M308,データ!$E$14:$G$21,1,TRUE),M308&lt;=VLOOKUP(M308,データ!$E$14:$G$21,2,TRUE)),VLOOKUP(M308,データ!$E$14:$H$21,4,TRUE),0)))</f>
        <v/>
      </c>
      <c r="AA308" s="33" t="str">
        <f t="shared" si="316"/>
        <v>休</v>
      </c>
      <c r="AB308" s="227" t="str">
        <f t="shared" si="318"/>
        <v/>
      </c>
      <c r="AC308" s="227" t="str">
        <f t="shared" si="317"/>
        <v/>
      </c>
      <c r="AD308" s="228" t="str">
        <f>IF(K308=1,IF(ISERROR(VLOOKUP(M308,データ!$A$3:$C$23,2,FALSE)),"",VLOOKUP(M308,データ!$A$3:$C$23,2,FALSE)),(IF(ISERROR(VLOOKUP(M308,データ!$A$3:$C$23,2,FALSE)),"",VLOOKUP(M308,データ!$A$3:$C$23,2,FALSE))))</f>
        <v/>
      </c>
    </row>
    <row r="309" spans="1:30">
      <c r="A309" s="1">
        <f>IF(AND(M309&gt;=VLOOKUP(M309,データ!$K$3:$O$6,1,TRUE),M309&lt;=VLOOKUP(M309,データ!$K$3:$O$6,2,TRUE)),VLOOKUP(M309,データ!$K$3:$O$6,5,TRUE),"")</f>
        <v>1</v>
      </c>
      <c r="B309" s="74">
        <f>IF(AND(M309&gt;=VLOOKUP(M309,データ!$K$3:$O$6,1,TRUE),M309&lt;=VLOOKUP(M309,データ!$K$3:$O$6,2,TRUE)),VLOOKUP(M309,データ!$K$3:$O$6,3,TRUE),"")</f>
        <v>0.41666666666666669</v>
      </c>
      <c r="C309" s="1">
        <f>IF(AND(M309&gt;=VLOOKUP(M309,データ!$K$11:$O$16,1,TRUE),M309&lt;=VLOOKUP(M309,データ!$K$11:$O$16,2,TRUE)),VLOOKUP(M309,データ!$K$11:$O$16,5,TRUE),0)</f>
        <v>0</v>
      </c>
      <c r="D309" s="74" t="str">
        <f>IF(AND(M309&gt;=VLOOKUP(M309,データ!$K$11:$O$16,1,TRUE),M309&lt;=VLOOKUP(M309,データ!$K$11:$O$16,2,TRUE)),VLOOKUP(M309,データ!$K$11:$O$16,3,TRUE),"")</f>
        <v/>
      </c>
      <c r="E309" s="74">
        <f t="shared" si="307"/>
        <v>0.41666666666666669</v>
      </c>
      <c r="F309" s="75">
        <f>VLOOKUP(E309,データ!$K$20:$O$24,5,FALSE)</f>
        <v>0</v>
      </c>
      <c r="G309" s="74">
        <f>IF(AND(M309&gt;=VLOOKUP(M309,データ!$K$3:$O$6,1,TRUE),M309&lt;=VLOOKUP(M309,データ!$K$3:$O$6,2,TRUE)),VLOOKUP(M309,データ!$K$3:$O$6,4,TRUE),"")</f>
        <v>0.70833333333333337</v>
      </c>
      <c r="H309" s="256">
        <f>INDEX(データ!L$21:N$24,MATCH(配置表!E309,データ!K$21:K$24,0),MATCH(配置表!G309,データ!L$20:N$20,0))</f>
        <v>1</v>
      </c>
      <c r="I309" s="52" t="str">
        <f>IF(ISERROR(VLOOKUP(M309,データ!$A$3:$C$20,3,FALSE)),"",VLOOKUP(M309,データ!$A$3:$C$20,3,FALSE))</f>
        <v/>
      </c>
      <c r="J309" s="52" t="str">
        <f t="shared" si="308"/>
        <v/>
      </c>
      <c r="K309" s="53">
        <f t="shared" si="321"/>
        <v>0</v>
      </c>
      <c r="L309" s="28" t="str">
        <f t="shared" si="309"/>
        <v/>
      </c>
      <c r="M309" s="9">
        <f t="shared" si="319"/>
        <v>46028</v>
      </c>
      <c r="N309" s="10" t="str">
        <f t="shared" si="310"/>
        <v>火</v>
      </c>
      <c r="O309" s="63" t="str">
        <f>IF(AND(M309&gt;=VLOOKUP(M309,データ!$E$3:$G$9,1,TRUE),M309&lt;=VLOOKUP(M309,データ!$E$3:$G$9,2,TRUE)),VLOOKUP(M309,データ!$E$3:$G$9,3,TRUE),"")</f>
        <v>冬　特別展</v>
      </c>
      <c r="P309" s="63" t="str">
        <f>IF(AND(M309&gt;=VLOOKUP(M309,データ!$E$14:$G$21,1,TRUE),M309&lt;=VLOOKUP(M309,データ!$E$14:$G$21,2,TRUE)),VLOOKUP(M309,データ!$E$14:$G$21,3,TRUE),"")</f>
        <v>テーマ展</v>
      </c>
      <c r="Q309" s="45" t="str">
        <f t="shared" si="311"/>
        <v>○</v>
      </c>
      <c r="R309" s="45"/>
      <c r="S309" s="33" t="str">
        <f t="shared" si="312"/>
        <v/>
      </c>
      <c r="T309" s="10"/>
      <c r="U309" s="10" t="str">
        <f t="shared" si="313"/>
        <v>●</v>
      </c>
      <c r="V309" s="32"/>
      <c r="W309" s="33" t="str">
        <f t="shared" si="314"/>
        <v/>
      </c>
      <c r="X309" s="32"/>
      <c r="Y309" s="33" t="str">
        <f t="shared" si="315"/>
        <v>○</v>
      </c>
      <c r="Z309" s="32">
        <f>IF(L309="閉","",(IF(AND(M309&gt;=VLOOKUP(M309,データ!$E$3:$G$9,1,TRUE),M309&lt;=VLOOKUP(M309,データ!$E$3:$G$9,2,TRUE)),VLOOKUP(M309,データ!$E$3:$H$9,4,TRUE),0)+IF(AND(M309&gt;=VLOOKUP(M309,データ!$E$14:$G$21,1,TRUE),M309&lt;=VLOOKUP(M309,データ!$E$14:$G$21,2,TRUE)),VLOOKUP(M309,データ!$E$14:$H$21,4,TRUE),0)))</f>
        <v>5</v>
      </c>
      <c r="AA309" s="33" t="str">
        <f t="shared" si="316"/>
        <v>○</v>
      </c>
      <c r="AB309" s="227">
        <f t="shared" si="318"/>
        <v>0.41666666666666669</v>
      </c>
      <c r="AC309" s="227">
        <f t="shared" si="317"/>
        <v>0.70833333333333337</v>
      </c>
      <c r="AD309" s="228" t="str">
        <f>IF(K309=1,IF(ISERROR(VLOOKUP(M309,データ!$A$3:$C$23,2,FALSE)),"",VLOOKUP(M309,データ!$A$3:$C$23,2,FALSE)),(IF(ISERROR(VLOOKUP(M309,データ!$A$3:$C$23,2,FALSE)),"",VLOOKUP(M309,データ!$A$3:$C$23,2,FALSE))))</f>
        <v/>
      </c>
    </row>
    <row r="310" spans="1:30">
      <c r="A310" s="1">
        <f>IF(AND(M310&gt;=VLOOKUP(M310,データ!$K$3:$O$6,1,TRUE),M310&lt;=VLOOKUP(M310,データ!$K$3:$O$6,2,TRUE)),VLOOKUP(M310,データ!$K$3:$O$6,5,TRUE),"")</f>
        <v>1</v>
      </c>
      <c r="B310" s="74">
        <f>IF(AND(M310&gt;=VLOOKUP(M310,データ!$K$3:$O$6,1,TRUE),M310&lt;=VLOOKUP(M310,データ!$K$3:$O$6,2,TRUE)),VLOOKUP(M310,データ!$K$3:$O$6,3,TRUE),"")</f>
        <v>0.41666666666666669</v>
      </c>
      <c r="C310" s="1">
        <f>IF(AND(M310&gt;=VLOOKUP(M310,データ!$K$11:$O$16,1,TRUE),M310&lt;=VLOOKUP(M310,データ!$K$11:$O$16,2,TRUE)),VLOOKUP(M310,データ!$K$11:$O$16,5,TRUE),0)</f>
        <v>0</v>
      </c>
      <c r="D310" s="74" t="str">
        <f>IF(AND(M310&gt;=VLOOKUP(M310,データ!$K$11:$O$16,1,TRUE),M310&lt;=VLOOKUP(M310,データ!$K$11:$O$16,2,TRUE)),VLOOKUP(M310,データ!$K$11:$O$16,3,TRUE),"")</f>
        <v/>
      </c>
      <c r="E310" s="74">
        <f t="shared" si="307"/>
        <v>0.41666666666666669</v>
      </c>
      <c r="F310" s="75">
        <f>VLOOKUP(E310,データ!$K$20:$O$24,5,FALSE)</f>
        <v>0</v>
      </c>
      <c r="G310" s="74">
        <f>IF(AND(M310&gt;=VLOOKUP(M310,データ!$K$3:$O$6,1,TRUE),M310&lt;=VLOOKUP(M310,データ!$K$3:$O$6,2,TRUE)),VLOOKUP(M310,データ!$K$3:$O$6,4,TRUE),"")</f>
        <v>0.70833333333333337</v>
      </c>
      <c r="H310" s="256">
        <f>INDEX(データ!L$21:N$24,MATCH(配置表!E310,データ!K$21:K$24,0),MATCH(配置表!G310,データ!L$20:N$20,0))</f>
        <v>1</v>
      </c>
      <c r="I310" s="52" t="str">
        <f>IF(ISERROR(VLOOKUP(M310,データ!$A$3:$C$20,3,FALSE)),"",VLOOKUP(M310,データ!$A$3:$C$20,3,FALSE))</f>
        <v/>
      </c>
      <c r="J310" s="52" t="str">
        <f t="shared" si="308"/>
        <v/>
      </c>
      <c r="K310" s="53">
        <f t="shared" si="321"/>
        <v>0</v>
      </c>
      <c r="L310" s="28" t="str">
        <f t="shared" si="309"/>
        <v/>
      </c>
      <c r="M310" s="9">
        <f t="shared" si="319"/>
        <v>46029</v>
      </c>
      <c r="N310" s="10" t="str">
        <f t="shared" si="310"/>
        <v>水</v>
      </c>
      <c r="O310" s="63" t="str">
        <f>IF(AND(M310&gt;=VLOOKUP(M310,データ!$E$3:$G$9,1,TRUE),M310&lt;=VLOOKUP(M310,データ!$E$3:$G$9,2,TRUE)),VLOOKUP(M310,データ!$E$3:$G$9,3,TRUE),"")</f>
        <v>冬　特別展</v>
      </c>
      <c r="P310" s="63" t="str">
        <f>IF(AND(M310&gt;=VLOOKUP(M310,データ!$E$14:$G$21,1,TRUE),M310&lt;=VLOOKUP(M310,データ!$E$14:$G$21,2,TRUE)),VLOOKUP(M310,データ!$E$14:$G$21,3,TRUE),"")</f>
        <v>テーマ展</v>
      </c>
      <c r="Q310" s="45" t="str">
        <f t="shared" si="311"/>
        <v>○</v>
      </c>
      <c r="R310" s="45"/>
      <c r="S310" s="33" t="str">
        <f t="shared" si="312"/>
        <v/>
      </c>
      <c r="T310" s="10"/>
      <c r="U310" s="10" t="str">
        <f t="shared" si="313"/>
        <v>●</v>
      </c>
      <c r="V310" s="32"/>
      <c r="W310" s="33" t="str">
        <f t="shared" si="314"/>
        <v/>
      </c>
      <c r="X310" s="32"/>
      <c r="Y310" s="33" t="str">
        <f t="shared" si="315"/>
        <v>○</v>
      </c>
      <c r="Z310" s="32">
        <f>IF(L310="閉","",(IF(AND(M310&gt;=VLOOKUP(M310,データ!$E$3:$G$9,1,TRUE),M310&lt;=VLOOKUP(M310,データ!$E$3:$G$9,2,TRUE)),VLOOKUP(M310,データ!$E$3:$H$9,4,TRUE),0)+IF(AND(M310&gt;=VLOOKUP(M310,データ!$E$14:$G$21,1,TRUE),M310&lt;=VLOOKUP(M310,データ!$E$14:$G$21,2,TRUE)),VLOOKUP(M310,データ!$E$14:$H$21,4,TRUE),0)))</f>
        <v>5</v>
      </c>
      <c r="AA310" s="33" t="str">
        <f t="shared" si="316"/>
        <v>○</v>
      </c>
      <c r="AB310" s="227">
        <f t="shared" si="318"/>
        <v>0.41666666666666669</v>
      </c>
      <c r="AC310" s="227">
        <f t="shared" si="317"/>
        <v>0.70833333333333337</v>
      </c>
      <c r="AD310" s="228" t="str">
        <f>IF(K310=1,IF(ISERROR(VLOOKUP(M310,データ!$A$3:$C$23,2,FALSE)),"",VLOOKUP(M310,データ!$A$3:$C$23,2,FALSE)),(IF(ISERROR(VLOOKUP(M310,データ!$A$3:$C$23,2,FALSE)),"",VLOOKUP(M310,データ!$A$3:$C$23,2,FALSE))))</f>
        <v/>
      </c>
    </row>
    <row r="311" spans="1:30">
      <c r="A311" s="1">
        <f>IF(AND(M311&gt;=VLOOKUP(M311,データ!$K$3:$O$6,1,TRUE),M311&lt;=VLOOKUP(M311,データ!$K$3:$O$6,2,TRUE)),VLOOKUP(M311,データ!$K$3:$O$6,5,TRUE),"")</f>
        <v>1</v>
      </c>
      <c r="B311" s="74">
        <f>IF(AND(M311&gt;=VLOOKUP(M311,データ!$K$3:$O$6,1,TRUE),M311&lt;=VLOOKUP(M311,データ!$K$3:$O$6,2,TRUE)),VLOOKUP(M311,データ!$K$3:$O$6,3,TRUE),"")</f>
        <v>0.41666666666666669</v>
      </c>
      <c r="C311" s="1">
        <f>IF(AND(M311&gt;=VLOOKUP(M311,データ!$K$11:$O$16,1,TRUE),M311&lt;=VLOOKUP(M311,データ!$K$11:$O$16,2,TRUE)),VLOOKUP(M311,データ!$K$11:$O$16,5,TRUE),0)</f>
        <v>0</v>
      </c>
      <c r="D311" s="74" t="str">
        <f>IF(AND(M311&gt;=VLOOKUP(M311,データ!$K$11:$O$16,1,TRUE),M311&lt;=VLOOKUP(M311,データ!$K$11:$O$16,2,TRUE)),VLOOKUP(M311,データ!$K$11:$O$16,3,TRUE),"")</f>
        <v/>
      </c>
      <c r="E311" s="74">
        <f t="shared" si="307"/>
        <v>0.41666666666666669</v>
      </c>
      <c r="F311" s="75">
        <f>VLOOKUP(E311,データ!$K$20:$O$24,5,FALSE)</f>
        <v>0</v>
      </c>
      <c r="G311" s="74">
        <f>IF(AND(M311&gt;=VLOOKUP(M311,データ!$K$3:$O$6,1,TRUE),M311&lt;=VLOOKUP(M311,データ!$K$3:$O$6,2,TRUE)),VLOOKUP(M311,データ!$K$3:$O$6,4,TRUE),"")</f>
        <v>0.70833333333333337</v>
      </c>
      <c r="H311" s="256">
        <f>INDEX(データ!L$21:N$24,MATCH(配置表!E311,データ!K$21:K$24,0),MATCH(配置表!G311,データ!L$20:N$20,0))</f>
        <v>1</v>
      </c>
      <c r="I311" s="52" t="str">
        <f>IF(ISERROR(VLOOKUP(M311,データ!$A$3:$C$20,3,FALSE)),"",VLOOKUP(M311,データ!$A$3:$C$20,3,FALSE))</f>
        <v/>
      </c>
      <c r="J311" s="52" t="str">
        <f t="shared" si="308"/>
        <v/>
      </c>
      <c r="K311" s="53">
        <f t="shared" si="321"/>
        <v>0</v>
      </c>
      <c r="L311" s="28" t="str">
        <f t="shared" si="309"/>
        <v/>
      </c>
      <c r="M311" s="9">
        <f t="shared" si="319"/>
        <v>46030</v>
      </c>
      <c r="N311" s="10" t="str">
        <f t="shared" si="310"/>
        <v>木</v>
      </c>
      <c r="O311" s="63" t="str">
        <f>IF(AND(M311&gt;=VLOOKUP(M311,データ!$E$3:$G$9,1,TRUE),M311&lt;=VLOOKUP(M311,データ!$E$3:$G$9,2,TRUE)),VLOOKUP(M311,データ!$E$3:$G$9,3,TRUE),"")</f>
        <v>冬　特別展</v>
      </c>
      <c r="P311" s="63" t="str">
        <f>IF(AND(M311&gt;=VLOOKUP(M311,データ!$E$14:$G$21,1,TRUE),M311&lt;=VLOOKUP(M311,データ!$E$14:$G$21,2,TRUE)),VLOOKUP(M311,データ!$E$14:$G$21,3,TRUE),"")</f>
        <v>テーマ展</v>
      </c>
      <c r="Q311" s="45" t="str">
        <f t="shared" si="311"/>
        <v>○</v>
      </c>
      <c r="R311" s="45"/>
      <c r="S311" s="33" t="str">
        <f t="shared" si="312"/>
        <v/>
      </c>
      <c r="T311" s="10"/>
      <c r="U311" s="10" t="str">
        <f t="shared" si="313"/>
        <v>●</v>
      </c>
      <c r="V311" s="32"/>
      <c r="W311" s="33" t="str">
        <f t="shared" si="314"/>
        <v/>
      </c>
      <c r="X311" s="32"/>
      <c r="Y311" s="33" t="str">
        <f t="shared" si="315"/>
        <v>○</v>
      </c>
      <c r="Z311" s="32">
        <f>IF(L311="閉","",(IF(AND(M311&gt;=VLOOKUP(M311,データ!$E$3:$G$9,1,TRUE),M311&lt;=VLOOKUP(M311,データ!$E$3:$G$9,2,TRUE)),VLOOKUP(M311,データ!$E$3:$H$9,4,TRUE),0)+IF(AND(M311&gt;=VLOOKUP(M311,データ!$E$14:$G$21,1,TRUE),M311&lt;=VLOOKUP(M311,データ!$E$14:$G$21,2,TRUE)),VLOOKUP(M311,データ!$E$14:$H$21,4,TRUE),0)))</f>
        <v>5</v>
      </c>
      <c r="AA311" s="33" t="str">
        <f t="shared" si="316"/>
        <v>○</v>
      </c>
      <c r="AB311" s="227">
        <f t="shared" si="318"/>
        <v>0.41666666666666669</v>
      </c>
      <c r="AC311" s="227">
        <f t="shared" si="317"/>
        <v>0.70833333333333337</v>
      </c>
      <c r="AD311" s="228" t="str">
        <f>IF(K311=1,IF(ISERROR(VLOOKUP(M311,データ!$A$3:$C$23,2,FALSE)),"",VLOOKUP(M311,データ!$A$3:$C$23,2,FALSE)),(IF(ISERROR(VLOOKUP(M311,データ!$A$3:$C$23,2,FALSE)),"",VLOOKUP(M311,データ!$A$3:$C$23,2,FALSE))))</f>
        <v/>
      </c>
    </row>
    <row r="312" spans="1:30">
      <c r="A312" s="1">
        <f>IF(AND(M312&gt;=VLOOKUP(M312,データ!$K$3:$O$6,1,TRUE),M312&lt;=VLOOKUP(M312,データ!$K$3:$O$6,2,TRUE)),VLOOKUP(M312,データ!$K$3:$O$6,5,TRUE),"")</f>
        <v>1</v>
      </c>
      <c r="B312" s="74">
        <f>IF(AND(M312&gt;=VLOOKUP(M312,データ!$K$3:$O$6,1,TRUE),M312&lt;=VLOOKUP(M312,データ!$K$3:$O$6,2,TRUE)),VLOOKUP(M312,データ!$K$3:$O$6,3,TRUE),"")</f>
        <v>0.41666666666666669</v>
      </c>
      <c r="C312" s="1">
        <f>IF(AND(M312&gt;=VLOOKUP(M312,データ!$K$11:$O$16,1,TRUE),M312&lt;=VLOOKUP(M312,データ!$K$11:$O$16,2,TRUE)),VLOOKUP(M312,データ!$K$11:$O$16,5,TRUE),0)</f>
        <v>0</v>
      </c>
      <c r="D312" s="74" t="str">
        <f>IF(AND(M312&gt;=VLOOKUP(M312,データ!$K$11:$O$16,1,TRUE),M312&lt;=VLOOKUP(M312,データ!$K$11:$O$16,2,TRUE)),VLOOKUP(M312,データ!$K$11:$O$16,3,TRUE),"")</f>
        <v/>
      </c>
      <c r="E312" s="74">
        <f t="shared" si="307"/>
        <v>0.41666666666666669</v>
      </c>
      <c r="F312" s="75">
        <f>VLOOKUP(E312,データ!$K$20:$O$24,5,FALSE)</f>
        <v>0</v>
      </c>
      <c r="G312" s="74">
        <f>IF(AND(M312&gt;=VLOOKUP(M312,データ!$K$3:$O$6,1,TRUE),M312&lt;=VLOOKUP(M312,データ!$K$3:$O$6,2,TRUE)),VLOOKUP(M312,データ!$K$3:$O$6,4,TRUE),"")</f>
        <v>0.70833333333333337</v>
      </c>
      <c r="H312" s="256">
        <f>INDEX(データ!L$21:N$24,MATCH(配置表!E312,データ!K$21:K$24,0),MATCH(配置表!G312,データ!L$20:N$20,0))</f>
        <v>1</v>
      </c>
      <c r="I312" s="52" t="str">
        <f>IF(ISERROR(VLOOKUP(M312,データ!$A$3:$C$20,3,FALSE)),"",VLOOKUP(M312,データ!$A$3:$C$20,3,FALSE))</f>
        <v/>
      </c>
      <c r="J312" s="52" t="str">
        <f t="shared" si="308"/>
        <v/>
      </c>
      <c r="K312" s="53">
        <f t="shared" si="321"/>
        <v>0</v>
      </c>
      <c r="L312" s="28" t="str">
        <f t="shared" si="309"/>
        <v/>
      </c>
      <c r="M312" s="9">
        <f t="shared" si="319"/>
        <v>46031</v>
      </c>
      <c r="N312" s="10" t="str">
        <f t="shared" si="310"/>
        <v>金</v>
      </c>
      <c r="O312" s="63" t="str">
        <f>IF(AND(M312&gt;=VLOOKUP(M312,データ!$E$3:$G$9,1,TRUE),M312&lt;=VLOOKUP(M312,データ!$E$3:$G$9,2,TRUE)),VLOOKUP(M312,データ!$E$3:$G$9,3,TRUE),"")</f>
        <v>冬　特別展</v>
      </c>
      <c r="P312" s="63" t="str">
        <f>IF(AND(M312&gt;=VLOOKUP(M312,データ!$E$14:$G$21,1,TRUE),M312&lt;=VLOOKUP(M312,データ!$E$14:$G$21,2,TRUE)),VLOOKUP(M312,データ!$E$14:$G$21,3,TRUE),"")</f>
        <v>テーマ展</v>
      </c>
      <c r="Q312" s="45" t="str">
        <f t="shared" si="311"/>
        <v>○</v>
      </c>
      <c r="R312" s="45"/>
      <c r="S312" s="33" t="str">
        <f t="shared" si="312"/>
        <v/>
      </c>
      <c r="T312" s="10"/>
      <c r="U312" s="10" t="str">
        <f t="shared" si="313"/>
        <v>●</v>
      </c>
      <c r="V312" s="32"/>
      <c r="W312" s="33" t="str">
        <f t="shared" si="314"/>
        <v/>
      </c>
      <c r="X312" s="32"/>
      <c r="Y312" s="33" t="str">
        <f t="shared" si="315"/>
        <v>○</v>
      </c>
      <c r="Z312" s="32">
        <f>IF(L312="閉","",(IF(AND(M312&gt;=VLOOKUP(M312,データ!$E$3:$G$9,1,TRUE),M312&lt;=VLOOKUP(M312,データ!$E$3:$G$9,2,TRUE)),VLOOKUP(M312,データ!$E$3:$H$9,4,TRUE),0)+IF(AND(M312&gt;=VLOOKUP(M312,データ!$E$14:$G$21,1,TRUE),M312&lt;=VLOOKUP(M312,データ!$E$14:$G$21,2,TRUE)),VLOOKUP(M312,データ!$E$14:$H$21,4,TRUE),0)))</f>
        <v>5</v>
      </c>
      <c r="AA312" s="33" t="str">
        <f t="shared" si="316"/>
        <v>○</v>
      </c>
      <c r="AB312" s="227">
        <f t="shared" si="318"/>
        <v>0.41666666666666669</v>
      </c>
      <c r="AC312" s="227">
        <f t="shared" si="317"/>
        <v>0.70833333333333337</v>
      </c>
      <c r="AD312" s="228" t="str">
        <f>IF(K312=1,IF(ISERROR(VLOOKUP(M312,データ!$A$3:$C$23,2,FALSE)),"",VLOOKUP(M312,データ!$A$3:$C$23,2,FALSE)),(IF(ISERROR(VLOOKUP(M312,データ!$A$3:$C$23,2,FALSE)),"",VLOOKUP(M312,データ!$A$3:$C$23,2,FALSE))))</f>
        <v/>
      </c>
    </row>
    <row r="313" spans="1:30">
      <c r="A313" s="1">
        <f>IF(AND(M313&gt;=VLOOKUP(M313,データ!$K$3:$O$6,1,TRUE),M313&lt;=VLOOKUP(M313,データ!$K$3:$O$6,2,TRUE)),VLOOKUP(M313,データ!$K$3:$O$6,5,TRUE),"")</f>
        <v>1</v>
      </c>
      <c r="B313" s="74">
        <f>IF(AND(M313&gt;=VLOOKUP(M313,データ!$K$3:$O$6,1,TRUE),M313&lt;=VLOOKUP(M313,データ!$K$3:$O$6,2,TRUE)),VLOOKUP(M313,データ!$K$3:$O$6,3,TRUE),"")</f>
        <v>0.41666666666666669</v>
      </c>
      <c r="C313" s="1">
        <f>IF(AND(M313&gt;=VLOOKUP(M313,データ!$K$11:$O$16,1,TRUE),M313&lt;=VLOOKUP(M313,データ!$K$11:$O$16,2,TRUE)),VLOOKUP(M313,データ!$K$11:$O$16,5,TRUE),0)</f>
        <v>0</v>
      </c>
      <c r="D313" s="74" t="str">
        <f>IF(AND(M313&gt;=VLOOKUP(M313,データ!$K$11:$O$16,1,TRUE),M313&lt;=VLOOKUP(M313,データ!$K$11:$O$16,2,TRUE)),VLOOKUP(M313,データ!$K$11:$O$16,3,TRUE),"")</f>
        <v/>
      </c>
      <c r="E313" s="74">
        <f t="shared" si="307"/>
        <v>0.41666666666666669</v>
      </c>
      <c r="F313" s="75">
        <f>VLOOKUP(E313,データ!$K$20:$O$24,5,FALSE)</f>
        <v>0</v>
      </c>
      <c r="G313" s="74">
        <f>IF(AND(M313&gt;=VLOOKUP(M313,データ!$K$3:$O$6,1,TRUE),M313&lt;=VLOOKUP(M313,データ!$K$3:$O$6,2,TRUE)),VLOOKUP(M313,データ!$K$3:$O$6,4,TRUE),"")</f>
        <v>0.70833333333333337</v>
      </c>
      <c r="H313" s="256">
        <f>INDEX(データ!L$21:N$24,MATCH(配置表!E313,データ!K$21:K$24,0),MATCH(配置表!G313,データ!L$20:N$20,0))</f>
        <v>1</v>
      </c>
      <c r="I313" s="52" t="str">
        <f>IF(ISERROR(VLOOKUP(M313,データ!$A$3:$C$20,3,FALSE)),"",VLOOKUP(M313,データ!$A$3:$C$20,3,FALSE))</f>
        <v/>
      </c>
      <c r="J313" s="52" t="str">
        <f t="shared" si="308"/>
        <v/>
      </c>
      <c r="K313" s="53">
        <f t="shared" si="321"/>
        <v>0</v>
      </c>
      <c r="L313" s="28" t="str">
        <f t="shared" si="309"/>
        <v/>
      </c>
      <c r="M313" s="9">
        <f t="shared" si="319"/>
        <v>46032</v>
      </c>
      <c r="N313" s="10" t="str">
        <f t="shared" si="310"/>
        <v>土</v>
      </c>
      <c r="O313" s="63" t="str">
        <f>IF(AND(M313&gt;=VLOOKUP(M313,データ!$E$3:$G$9,1,TRUE),M313&lt;=VLOOKUP(M313,データ!$E$3:$G$9,2,TRUE)),VLOOKUP(M313,データ!$E$3:$G$9,3,TRUE),"")</f>
        <v>冬　特別展</v>
      </c>
      <c r="P313" s="63" t="str">
        <f>IF(AND(M313&gt;=VLOOKUP(M313,データ!$E$14:$G$21,1,TRUE),M313&lt;=VLOOKUP(M313,データ!$E$14:$G$21,2,TRUE)),VLOOKUP(M313,データ!$E$14:$G$21,3,TRUE),"")</f>
        <v>テーマ展</v>
      </c>
      <c r="Q313" s="45" t="str">
        <f t="shared" si="311"/>
        <v>○</v>
      </c>
      <c r="R313" s="45"/>
      <c r="S313" s="33" t="str">
        <f t="shared" ref="S313:S314" si="322">IF(H313="閉","休",IF(K313="","",IF(OR(J313="土",J313="日",E313=1),IF(OR(K313="ダミー　特別展",K313="ダミー　特別展"),"◎",IF(OR(K313="夏　特別展",K313="秋　特別展",K313="春　特別展"),"○","")),"")))</f>
        <v/>
      </c>
      <c r="T313" s="45"/>
      <c r="U313" s="33" t="str">
        <f t="shared" ref="U313:U314" si="323">IF(L313="閉","休",IF(S313="","●","●"))</f>
        <v>●</v>
      </c>
      <c r="V313" s="32"/>
      <c r="W313" s="33" t="str">
        <f>IF(P313="閉","休",IF(O313="","",IF(O313="冬　特別展",IF(OR(N313="土",N313="日",I313=1),"◎",""),"○")))</f>
        <v>◎</v>
      </c>
      <c r="X313" s="32"/>
      <c r="Y313" s="33" t="str">
        <f t="shared" si="315"/>
        <v>○</v>
      </c>
      <c r="Z313" s="32">
        <f>IF(L313="閉","",(IF(AND(M313&gt;=VLOOKUP(M313,データ!$E$3:$G$9,1,TRUE),M313&lt;=VLOOKUP(M313,データ!$E$3:$G$9,2,TRUE)),VLOOKUP(M313,データ!$E$3:$H$9,4,TRUE),0)+IF(AND(M313&gt;=VLOOKUP(M313,データ!$E$14:$G$21,1,TRUE),M313&lt;=VLOOKUP(M313,データ!$E$14:$G$21,2,TRUE)),VLOOKUP(M313,データ!$E$14:$H$21,4,TRUE),0)))</f>
        <v>5</v>
      </c>
      <c r="AA313" s="33" t="str">
        <f t="shared" si="316"/>
        <v>○</v>
      </c>
      <c r="AB313" s="227">
        <f t="shared" si="318"/>
        <v>0.41666666666666669</v>
      </c>
      <c r="AC313" s="227">
        <f t="shared" si="317"/>
        <v>0.70833333333333337</v>
      </c>
      <c r="AD313" s="228" t="str">
        <f>IF(K313=1,IF(ISERROR(VLOOKUP(M313,データ!$A$3:$C$23,2,FALSE)),"",VLOOKUP(M313,データ!$A$3:$C$23,2,FALSE)),(IF(ISERROR(VLOOKUP(M313,データ!$A$3:$C$23,2,FALSE)),"",VLOOKUP(M313,データ!$A$3:$C$23,2,FALSE))))</f>
        <v/>
      </c>
    </row>
    <row r="314" spans="1:30">
      <c r="A314" s="1">
        <f>IF(AND(M314&gt;=VLOOKUP(M314,データ!$K$3:$O$6,1,TRUE),M314&lt;=VLOOKUP(M314,データ!$K$3:$O$6,2,TRUE)),VLOOKUP(M314,データ!$K$3:$O$6,5,TRUE),"")</f>
        <v>1</v>
      </c>
      <c r="B314" s="74">
        <f>IF(AND(M314&gt;=VLOOKUP(M314,データ!$K$3:$O$6,1,TRUE),M314&lt;=VLOOKUP(M314,データ!$K$3:$O$6,2,TRUE)),VLOOKUP(M314,データ!$K$3:$O$6,3,TRUE),"")</f>
        <v>0.41666666666666669</v>
      </c>
      <c r="C314" s="1">
        <f>IF(AND(M314&gt;=VLOOKUP(M314,データ!$K$11:$O$16,1,TRUE),M314&lt;=VLOOKUP(M314,データ!$K$11:$O$16,2,TRUE)),VLOOKUP(M314,データ!$K$11:$O$16,5,TRUE),0)</f>
        <v>0</v>
      </c>
      <c r="D314" s="74" t="str">
        <f>IF(AND(M314&gt;=VLOOKUP(M314,データ!$K$11:$O$16,1,TRUE),M314&lt;=VLOOKUP(M314,データ!$K$11:$O$16,2,TRUE)),VLOOKUP(M314,データ!$K$11:$O$16,3,TRUE),"")</f>
        <v/>
      </c>
      <c r="E314" s="74">
        <f t="shared" si="307"/>
        <v>0.41666666666666669</v>
      </c>
      <c r="F314" s="75">
        <f>VLOOKUP(E314,データ!$K$20:$O$24,5,FALSE)</f>
        <v>0</v>
      </c>
      <c r="G314" s="74">
        <f>IF(AND(M314&gt;=VLOOKUP(M314,データ!$K$3:$O$6,1,TRUE),M314&lt;=VLOOKUP(M314,データ!$K$3:$O$6,2,TRUE)),VLOOKUP(M314,データ!$K$3:$O$6,4,TRUE),"")</f>
        <v>0.70833333333333337</v>
      </c>
      <c r="H314" s="256">
        <f>INDEX(データ!L$21:N$24,MATCH(配置表!E314,データ!K$21:K$24,0),MATCH(配置表!G314,データ!L$20:N$20,0))</f>
        <v>1</v>
      </c>
      <c r="I314" s="52" t="str">
        <f>IF(ISERROR(VLOOKUP(M314,データ!$A$3:$C$20,3,FALSE)),"",VLOOKUP(M314,データ!$A$3:$C$20,3,FALSE))</f>
        <v/>
      </c>
      <c r="J314" s="52" t="str">
        <f t="shared" si="308"/>
        <v/>
      </c>
      <c r="K314" s="53">
        <f t="shared" si="321"/>
        <v>0</v>
      </c>
      <c r="L314" s="28" t="str">
        <f t="shared" si="309"/>
        <v/>
      </c>
      <c r="M314" s="9">
        <f t="shared" si="319"/>
        <v>46033</v>
      </c>
      <c r="N314" s="10" t="str">
        <f t="shared" si="310"/>
        <v>日</v>
      </c>
      <c r="O314" s="63" t="str">
        <f>IF(AND(M314&gt;=VLOOKUP(M314,データ!$E$3:$G$9,1,TRUE),M314&lt;=VLOOKUP(M314,データ!$E$3:$G$9,2,TRUE)),VLOOKUP(M314,データ!$E$3:$G$9,3,TRUE),"")</f>
        <v>冬　特別展</v>
      </c>
      <c r="P314" s="63" t="str">
        <f>IF(AND(M314&gt;=VLOOKUP(M314,データ!$E$14:$G$21,1,TRUE),M314&lt;=VLOOKUP(M314,データ!$E$14:$G$21,2,TRUE)),VLOOKUP(M314,データ!$E$14:$G$21,3,TRUE),"")</f>
        <v>テーマ展</v>
      </c>
      <c r="Q314" s="45" t="str">
        <f t="shared" si="311"/>
        <v>○</v>
      </c>
      <c r="R314" s="45"/>
      <c r="S314" s="33" t="str">
        <f t="shared" si="322"/>
        <v/>
      </c>
      <c r="T314" s="45"/>
      <c r="U314" s="33" t="str">
        <f t="shared" si="323"/>
        <v>●</v>
      </c>
      <c r="V314" s="32"/>
      <c r="W314" s="33" t="str">
        <f>IF(P314="閉","休",IF(O314="","",IF(O314="冬　特別展",IF(OR(N314="土",N314="日",I314=1),"◎",""),"○")))</f>
        <v>◎</v>
      </c>
      <c r="X314" s="32"/>
      <c r="Y314" s="33" t="str">
        <f t="shared" si="315"/>
        <v>○</v>
      </c>
      <c r="Z314" s="32">
        <f>IF(L314="閉","",(IF(AND(M314&gt;=VLOOKUP(M314,データ!$E$3:$G$9,1,TRUE),M314&lt;=VLOOKUP(M314,データ!$E$3:$G$9,2,TRUE)),VLOOKUP(M314,データ!$E$3:$H$9,4,TRUE),0)+IF(AND(M314&gt;=VLOOKUP(M314,データ!$E$14:$G$21,1,TRUE),M314&lt;=VLOOKUP(M314,データ!$E$14:$G$21,2,TRUE)),VLOOKUP(M314,データ!$E$14:$H$21,4,TRUE),0)))</f>
        <v>5</v>
      </c>
      <c r="AA314" s="33" t="str">
        <f t="shared" si="316"/>
        <v>○</v>
      </c>
      <c r="AB314" s="227">
        <f t="shared" si="318"/>
        <v>0.41666666666666669</v>
      </c>
      <c r="AC314" s="227">
        <f t="shared" si="317"/>
        <v>0.70833333333333337</v>
      </c>
      <c r="AD314" s="228" t="str">
        <f>IF(K314=1,IF(ISERROR(VLOOKUP(M314,データ!$A$3:$C$23,2,FALSE)),"",VLOOKUP(M314,データ!$A$3:$C$23,2,FALSE)),(IF(ISERROR(VLOOKUP(M314,データ!$A$3:$C$23,2,FALSE)),"",VLOOKUP(M314,データ!$A$3:$C$23,2,FALSE))))</f>
        <v/>
      </c>
    </row>
    <row r="315" spans="1:30">
      <c r="A315" s="1">
        <f>IF(AND(M315&gt;=VLOOKUP(M315,データ!$K$3:$O$6,1,TRUE),M315&lt;=VLOOKUP(M315,データ!$K$3:$O$6,2,TRUE)),VLOOKUP(M315,データ!$K$3:$O$6,5,TRUE),"")</f>
        <v>1</v>
      </c>
      <c r="B315" s="74">
        <f>IF(AND(M315&gt;=VLOOKUP(M315,データ!$K$3:$O$6,1,TRUE),M315&lt;=VLOOKUP(M315,データ!$K$3:$O$6,2,TRUE)),VLOOKUP(M315,データ!$K$3:$O$6,3,TRUE),"")</f>
        <v>0.41666666666666669</v>
      </c>
      <c r="C315" s="1">
        <f>IF(AND(M315&gt;=VLOOKUP(M315,データ!$K$11:$O$16,1,TRUE),M315&lt;=VLOOKUP(M315,データ!$K$11:$O$16,2,TRUE)),VLOOKUP(M315,データ!$K$11:$O$16,5,TRUE),0)</f>
        <v>0</v>
      </c>
      <c r="D315" s="74" t="str">
        <f>IF(AND(M315&gt;=VLOOKUP(M315,データ!$K$11:$O$16,1,TRUE),M315&lt;=VLOOKUP(M315,データ!$K$11:$O$16,2,TRUE)),VLOOKUP(M315,データ!$K$11:$O$16,3,TRUE),"")</f>
        <v/>
      </c>
      <c r="E315" s="74">
        <f t="shared" si="307"/>
        <v>0.41666666666666669</v>
      </c>
      <c r="F315" s="75">
        <f>VLOOKUP(E315,データ!$K$20:$O$24,5,FALSE)</f>
        <v>0</v>
      </c>
      <c r="G315" s="74">
        <f>IF(AND(M315&gt;=VLOOKUP(M315,データ!$K$3:$O$6,1,TRUE),M315&lt;=VLOOKUP(M315,データ!$K$3:$O$6,2,TRUE)),VLOOKUP(M315,データ!$K$3:$O$6,4,TRUE),"")</f>
        <v>0.70833333333333337</v>
      </c>
      <c r="H315" s="256">
        <f>INDEX(データ!L$21:N$24,MATCH(配置表!E315,データ!K$21:K$24,0),MATCH(配置表!G315,データ!L$20:N$20,0))</f>
        <v>1</v>
      </c>
      <c r="I315" s="52">
        <f>IF(ISERROR(VLOOKUP(M315,データ!$A$3:$C$20,3,FALSE)),"",VLOOKUP(M315,データ!$A$3:$C$20,3,FALSE))</f>
        <v>1</v>
      </c>
      <c r="J315" s="52">
        <f t="shared" si="308"/>
        <v>1</v>
      </c>
      <c r="K315" s="53">
        <f t="shared" si="321"/>
        <v>2</v>
      </c>
      <c r="L315" s="28" t="str">
        <f t="shared" si="309"/>
        <v/>
      </c>
      <c r="M315" s="9">
        <f t="shared" si="319"/>
        <v>46034</v>
      </c>
      <c r="N315" s="10" t="str">
        <f t="shared" si="310"/>
        <v>月</v>
      </c>
      <c r="O315" s="63" t="str">
        <f>IF(AND(M315&gt;=VLOOKUP(M315,データ!$E$3:$G$9,1,TRUE),M315&lt;=VLOOKUP(M315,データ!$E$3:$G$9,2,TRUE)),VLOOKUP(M315,データ!$E$3:$G$9,3,TRUE),"")</f>
        <v>冬　特別展</v>
      </c>
      <c r="P315" s="63" t="str">
        <f>IF(AND(M315&gt;=VLOOKUP(M315,データ!$E$14:$G$21,1,TRUE),M315&lt;=VLOOKUP(M315,データ!$E$14:$G$21,2,TRUE)),VLOOKUP(M315,データ!$E$14:$G$21,3,TRUE),"")</f>
        <v>テーマ展</v>
      </c>
      <c r="Q315" s="45" t="str">
        <f t="shared" si="311"/>
        <v>○</v>
      </c>
      <c r="R315" s="45"/>
      <c r="S315" s="33" t="str">
        <f t="shared" ref="S315" si="324">IF(H315="閉","休",IF(K315="","",IF(OR(J315="土",J315="日",E315=1),IF(OR(K315="ダミー　特別展",K315="ダミー　特別展"),"◎",IF(OR(K315="夏　特別展",K315="秋　特別展",K315="春　特別展"),"○","")),"")))</f>
        <v/>
      </c>
      <c r="T315" s="45"/>
      <c r="U315" s="33" t="str">
        <f t="shared" ref="U315" si="325">IF(L315="閉","休",IF(S315="","●","●"))</f>
        <v>●</v>
      </c>
      <c r="V315" s="32"/>
      <c r="W315" s="33" t="str">
        <f>IF(P315="閉","休",IF(O315="","",IF(O315="冬　特別展",IF(OR(N315="土",N315="日",I315=1),"◎",""),"○")))</f>
        <v>◎</v>
      </c>
      <c r="X315" s="32"/>
      <c r="Y315" s="33" t="str">
        <f t="shared" si="315"/>
        <v>○</v>
      </c>
      <c r="Z315" s="32">
        <f>IF(L315="閉","",(IF(AND(M315&gt;=VLOOKUP(M315,データ!$E$3:$G$9,1,TRUE),M315&lt;=VLOOKUP(M315,データ!$E$3:$G$9,2,TRUE)),VLOOKUP(M315,データ!$E$3:$H$9,4,TRUE),0)+IF(AND(M315&gt;=VLOOKUP(M315,データ!$E$14:$G$21,1,TRUE),M315&lt;=VLOOKUP(M315,データ!$E$14:$G$21,2,TRUE)),VLOOKUP(M315,データ!$E$14:$H$21,4,TRUE),0)))</f>
        <v>5</v>
      </c>
      <c r="AA315" s="33" t="str">
        <f t="shared" si="316"/>
        <v>○</v>
      </c>
      <c r="AB315" s="227">
        <f t="shared" si="318"/>
        <v>0.41666666666666669</v>
      </c>
      <c r="AC315" s="227">
        <f t="shared" si="317"/>
        <v>0.70833333333333337</v>
      </c>
      <c r="AD315" s="228" t="str">
        <f>IF(K315=1,IF(ISERROR(VLOOKUP(M315,データ!$A$3:$C$23,2,FALSE)),"",VLOOKUP(M315,データ!$A$3:$C$23,2,FALSE)),(IF(ISERROR(VLOOKUP(M315,データ!$A$3:$C$23,2,FALSE)),"",VLOOKUP(M315,データ!$A$3:$C$23,2,FALSE))))</f>
        <v>成人の日</v>
      </c>
    </row>
    <row r="316" spans="1:30">
      <c r="A316" s="1">
        <f>IF(AND(M316&gt;=VLOOKUP(M316,データ!$K$3:$O$6,1,TRUE),M316&lt;=VLOOKUP(M316,データ!$K$3:$O$6,2,TRUE)),VLOOKUP(M316,データ!$K$3:$O$6,5,TRUE),"")</f>
        <v>1</v>
      </c>
      <c r="B316" s="74">
        <f>IF(AND(M316&gt;=VLOOKUP(M316,データ!$K$3:$O$6,1,TRUE),M316&lt;=VLOOKUP(M316,データ!$K$3:$O$6,2,TRUE)),VLOOKUP(M316,データ!$K$3:$O$6,3,TRUE),"")</f>
        <v>0.41666666666666669</v>
      </c>
      <c r="C316" s="1">
        <f>IF(AND(M316&gt;=VLOOKUP(M316,データ!$K$11:$O$16,1,TRUE),M316&lt;=VLOOKUP(M316,データ!$K$11:$O$16,2,TRUE)),VLOOKUP(M316,データ!$K$11:$O$16,5,TRUE),0)</f>
        <v>0</v>
      </c>
      <c r="D316" s="74" t="str">
        <f>IF(AND(M316&gt;=VLOOKUP(M316,データ!$K$11:$O$16,1,TRUE),M316&lt;=VLOOKUP(M316,データ!$K$11:$O$16,2,TRUE)),VLOOKUP(M316,データ!$K$11:$O$16,3,TRUE),"")</f>
        <v/>
      </c>
      <c r="E316" s="74">
        <f t="shared" si="307"/>
        <v>0.41666666666666669</v>
      </c>
      <c r="F316" s="75">
        <f>VLOOKUP(E316,データ!$K$20:$O$24,5,FALSE)</f>
        <v>0</v>
      </c>
      <c r="G316" s="74">
        <f>IF(AND(M316&gt;=VLOOKUP(M316,データ!$K$3:$O$6,1,TRUE),M316&lt;=VLOOKUP(M316,データ!$K$3:$O$6,2,TRUE)),VLOOKUP(M316,データ!$K$3:$O$6,4,TRUE),"")</f>
        <v>0.70833333333333337</v>
      </c>
      <c r="H316" s="256">
        <f>INDEX(データ!L$21:N$24,MATCH(配置表!E316,データ!K$21:K$24,0),MATCH(配置表!G316,データ!L$20:N$20,0))</f>
        <v>1</v>
      </c>
      <c r="I316" s="52" t="str">
        <f>IF(ISERROR(VLOOKUP(M316,データ!$A$3:$C$20,3,FALSE)),"",VLOOKUP(M316,データ!$A$3:$C$20,3,FALSE))</f>
        <v/>
      </c>
      <c r="J316" s="52" t="str">
        <f t="shared" si="308"/>
        <v/>
      </c>
      <c r="K316" s="53">
        <f t="shared" si="321"/>
        <v>1</v>
      </c>
      <c r="L316" s="28" t="str">
        <f t="shared" si="309"/>
        <v>閉</v>
      </c>
      <c r="M316" s="9">
        <f t="shared" si="319"/>
        <v>46035</v>
      </c>
      <c r="N316" s="10" t="str">
        <f t="shared" si="310"/>
        <v>火</v>
      </c>
      <c r="O316" s="63" t="str">
        <f>IF(AND(M316&gt;=VLOOKUP(M316,データ!$E$3:$G$9,1,TRUE),M316&lt;=VLOOKUP(M316,データ!$E$3:$G$9,2,TRUE)),VLOOKUP(M316,データ!$E$3:$G$9,3,TRUE),"")</f>
        <v>冬　特別展</v>
      </c>
      <c r="P316" s="63" t="str">
        <f>IF(AND(M316&gt;=VLOOKUP(M316,データ!$E$14:$G$21,1,TRUE),M316&lt;=VLOOKUP(M316,データ!$E$14:$G$21,2,TRUE)),VLOOKUP(M316,データ!$E$14:$G$21,3,TRUE),"")</f>
        <v>テーマ展</v>
      </c>
      <c r="Q316" s="44" t="str">
        <f t="shared" si="311"/>
        <v>休</v>
      </c>
      <c r="R316" s="32"/>
      <c r="S316" s="33" t="str">
        <f t="shared" si="312"/>
        <v>休</v>
      </c>
      <c r="T316" s="32"/>
      <c r="U316" s="33" t="str">
        <f t="shared" si="313"/>
        <v>休</v>
      </c>
      <c r="V316" s="32"/>
      <c r="W316" s="33" t="str">
        <f t="shared" si="314"/>
        <v>休</v>
      </c>
      <c r="X316" s="32"/>
      <c r="Y316" s="33" t="str">
        <f t="shared" si="315"/>
        <v>休</v>
      </c>
      <c r="Z316" s="32" t="str">
        <f>IF(L316="閉","",(IF(AND(M316&gt;=VLOOKUP(M316,データ!$E$3:$G$9,1,TRUE),M316&lt;=VLOOKUP(M316,データ!$E$3:$G$9,2,TRUE)),VLOOKUP(M316,データ!$E$3:$H$9,4,TRUE),0)+IF(AND(M316&gt;=VLOOKUP(M316,データ!$E$14:$G$21,1,TRUE),M316&lt;=VLOOKUP(M316,データ!$E$14:$G$21,2,TRUE)),VLOOKUP(M316,データ!$E$14:$H$21,4,TRUE),0)))</f>
        <v/>
      </c>
      <c r="AA316" s="33" t="str">
        <f t="shared" si="316"/>
        <v>休</v>
      </c>
      <c r="AB316" s="227" t="str">
        <f t="shared" si="318"/>
        <v/>
      </c>
      <c r="AC316" s="227" t="str">
        <f t="shared" si="317"/>
        <v/>
      </c>
      <c r="AD316" s="228" t="str">
        <f>IF(K316=1,IF(ISERROR(VLOOKUP(M316,データ!$A$3:$C$23,2,FALSE)),"",VLOOKUP(M316,データ!$A$3:$C$23,2,FALSE)),(IF(ISERROR(VLOOKUP(M316,データ!$A$3:$C$23,2,FALSE)),"",VLOOKUP(M316,データ!$A$3:$C$23,2,FALSE))))</f>
        <v/>
      </c>
    </row>
    <row r="317" spans="1:30">
      <c r="A317" s="1">
        <f>IF(AND(M317&gt;=VLOOKUP(M317,データ!$K$3:$O$6,1,TRUE),M317&lt;=VLOOKUP(M317,データ!$K$3:$O$6,2,TRUE)),VLOOKUP(M317,データ!$K$3:$O$6,5,TRUE),"")</f>
        <v>1</v>
      </c>
      <c r="B317" s="74">
        <f>IF(AND(M317&gt;=VLOOKUP(M317,データ!$K$3:$O$6,1,TRUE),M317&lt;=VLOOKUP(M317,データ!$K$3:$O$6,2,TRUE)),VLOOKUP(M317,データ!$K$3:$O$6,3,TRUE),"")</f>
        <v>0.41666666666666669</v>
      </c>
      <c r="C317" s="1">
        <f>IF(AND(M317&gt;=VLOOKUP(M317,データ!$K$11:$O$16,1,TRUE),M317&lt;=VLOOKUP(M317,データ!$K$11:$O$16,2,TRUE)),VLOOKUP(M317,データ!$K$11:$O$16,5,TRUE),0)</f>
        <v>0</v>
      </c>
      <c r="D317" s="74" t="str">
        <f>IF(AND(M317&gt;=VLOOKUP(M317,データ!$K$11:$O$16,1,TRUE),M317&lt;=VLOOKUP(M317,データ!$K$11:$O$16,2,TRUE)),VLOOKUP(M317,データ!$K$11:$O$16,3,TRUE),"")</f>
        <v/>
      </c>
      <c r="E317" s="74">
        <f t="shared" si="307"/>
        <v>0.41666666666666669</v>
      </c>
      <c r="F317" s="75">
        <f>VLOOKUP(E317,データ!$K$20:$O$24,5,FALSE)</f>
        <v>0</v>
      </c>
      <c r="G317" s="74">
        <f>IF(AND(M317&gt;=VLOOKUP(M317,データ!$K$3:$O$6,1,TRUE),M317&lt;=VLOOKUP(M317,データ!$K$3:$O$6,2,TRUE)),VLOOKUP(M317,データ!$K$3:$O$6,4,TRUE),"")</f>
        <v>0.70833333333333337</v>
      </c>
      <c r="H317" s="256">
        <f>INDEX(データ!L$21:N$24,MATCH(配置表!E317,データ!K$21:K$24,0),MATCH(配置表!G317,データ!L$20:N$20,0))</f>
        <v>1</v>
      </c>
      <c r="I317" s="52" t="str">
        <f>IF(ISERROR(VLOOKUP(M317,データ!$A$3:$C$20,3,FALSE)),"",VLOOKUP(M317,データ!$A$3:$C$20,3,FALSE))</f>
        <v/>
      </c>
      <c r="J317" s="52" t="str">
        <f t="shared" si="308"/>
        <v/>
      </c>
      <c r="K317" s="53">
        <f t="shared" si="321"/>
        <v>0</v>
      </c>
      <c r="L317" s="28" t="str">
        <f t="shared" si="309"/>
        <v/>
      </c>
      <c r="M317" s="9">
        <f t="shared" si="319"/>
        <v>46036</v>
      </c>
      <c r="N317" s="10" t="str">
        <f t="shared" si="310"/>
        <v>水</v>
      </c>
      <c r="O317" s="63" t="str">
        <f>IF(AND(M317&gt;=VLOOKUP(M317,データ!$E$3:$G$9,1,TRUE),M317&lt;=VLOOKUP(M317,データ!$E$3:$G$9,2,TRUE)),VLOOKUP(M317,データ!$E$3:$G$9,3,TRUE),"")</f>
        <v>冬　特別展</v>
      </c>
      <c r="P317" s="63" t="str">
        <f>IF(AND(M317&gt;=VLOOKUP(M317,データ!$E$14:$G$21,1,TRUE),M317&lt;=VLOOKUP(M317,データ!$E$14:$G$21,2,TRUE)),VLOOKUP(M317,データ!$E$14:$G$21,3,TRUE),"")</f>
        <v>テーマ展</v>
      </c>
      <c r="Q317" s="45" t="str">
        <f t="shared" si="311"/>
        <v>○</v>
      </c>
      <c r="R317" s="45"/>
      <c r="S317" s="33" t="str">
        <f t="shared" si="312"/>
        <v/>
      </c>
      <c r="T317" s="10"/>
      <c r="U317" s="10" t="str">
        <f t="shared" si="313"/>
        <v>●</v>
      </c>
      <c r="V317" s="32"/>
      <c r="W317" s="33" t="str">
        <f t="shared" si="314"/>
        <v/>
      </c>
      <c r="X317" s="32"/>
      <c r="Y317" s="33" t="str">
        <f t="shared" si="315"/>
        <v>○</v>
      </c>
      <c r="Z317" s="32">
        <f>IF(L317="閉","",(IF(AND(M317&gt;=VLOOKUP(M317,データ!$E$3:$G$9,1,TRUE),M317&lt;=VLOOKUP(M317,データ!$E$3:$G$9,2,TRUE)),VLOOKUP(M317,データ!$E$3:$H$9,4,TRUE),0)+IF(AND(M317&gt;=VLOOKUP(M317,データ!$E$14:$G$21,1,TRUE),M317&lt;=VLOOKUP(M317,データ!$E$14:$G$21,2,TRUE)),VLOOKUP(M317,データ!$E$14:$H$21,4,TRUE),0)))</f>
        <v>5</v>
      </c>
      <c r="AA317" s="33" t="str">
        <f t="shared" si="316"/>
        <v>○</v>
      </c>
      <c r="AB317" s="227">
        <f t="shared" si="318"/>
        <v>0.41666666666666669</v>
      </c>
      <c r="AC317" s="227">
        <f t="shared" si="317"/>
        <v>0.70833333333333337</v>
      </c>
      <c r="AD317" s="228" t="str">
        <f>IF(K317=1,IF(ISERROR(VLOOKUP(M317,データ!$A$3:$C$23,2,FALSE)),"",VLOOKUP(M317,データ!$A$3:$C$23,2,FALSE)),(IF(ISERROR(VLOOKUP(M317,データ!$A$3:$C$23,2,FALSE)),"",VLOOKUP(M317,データ!$A$3:$C$23,2,FALSE))))</f>
        <v/>
      </c>
    </row>
    <row r="318" spans="1:30">
      <c r="A318" s="1">
        <f>IF(AND(M318&gt;=VLOOKUP(M318,データ!$K$3:$O$6,1,TRUE),M318&lt;=VLOOKUP(M318,データ!$K$3:$O$6,2,TRUE)),VLOOKUP(M318,データ!$K$3:$O$6,5,TRUE),"")</f>
        <v>1</v>
      </c>
      <c r="B318" s="74">
        <f>IF(AND(M318&gt;=VLOOKUP(M318,データ!$K$3:$O$6,1,TRUE),M318&lt;=VLOOKUP(M318,データ!$K$3:$O$6,2,TRUE)),VLOOKUP(M318,データ!$K$3:$O$6,3,TRUE),"")</f>
        <v>0.41666666666666669</v>
      </c>
      <c r="C318" s="1">
        <f>IF(AND(M318&gt;=VLOOKUP(M318,データ!$K$11:$O$16,1,TRUE),M318&lt;=VLOOKUP(M318,データ!$K$11:$O$16,2,TRUE)),VLOOKUP(M318,データ!$K$11:$O$16,5,TRUE),0)</f>
        <v>0</v>
      </c>
      <c r="D318" s="74" t="str">
        <f>IF(AND(M318&gt;=VLOOKUP(M318,データ!$K$11:$O$16,1,TRUE),M318&lt;=VLOOKUP(M318,データ!$K$11:$O$16,2,TRUE)),VLOOKUP(M318,データ!$K$11:$O$16,3,TRUE),"")</f>
        <v/>
      </c>
      <c r="E318" s="74">
        <f t="shared" si="307"/>
        <v>0.41666666666666669</v>
      </c>
      <c r="F318" s="75">
        <f>VLOOKUP(E318,データ!$K$20:$O$24,5,FALSE)</f>
        <v>0</v>
      </c>
      <c r="G318" s="74">
        <f>IF(AND(M318&gt;=VLOOKUP(M318,データ!$K$3:$O$6,1,TRUE),M318&lt;=VLOOKUP(M318,データ!$K$3:$O$6,2,TRUE)),VLOOKUP(M318,データ!$K$3:$O$6,4,TRUE),"")</f>
        <v>0.70833333333333337</v>
      </c>
      <c r="H318" s="256">
        <f>INDEX(データ!L$21:N$24,MATCH(配置表!E318,データ!K$21:K$24,0),MATCH(配置表!G318,データ!L$20:N$20,0))</f>
        <v>1</v>
      </c>
      <c r="I318" s="52" t="str">
        <f>IF(ISERROR(VLOOKUP(M318,データ!$A$3:$C$20,3,FALSE)),"",VLOOKUP(M318,データ!$A$3:$C$20,3,FALSE))</f>
        <v/>
      </c>
      <c r="J318" s="52" t="str">
        <f t="shared" si="308"/>
        <v/>
      </c>
      <c r="K318" s="53">
        <f t="shared" si="321"/>
        <v>0</v>
      </c>
      <c r="L318" s="28" t="str">
        <f t="shared" si="309"/>
        <v/>
      </c>
      <c r="M318" s="9">
        <f t="shared" si="319"/>
        <v>46037</v>
      </c>
      <c r="N318" s="10" t="str">
        <f t="shared" si="310"/>
        <v>木</v>
      </c>
      <c r="O318" s="63" t="str">
        <f>IF(AND(M318&gt;=VLOOKUP(M318,データ!$E$3:$G$9,1,TRUE),M318&lt;=VLOOKUP(M318,データ!$E$3:$G$9,2,TRUE)),VLOOKUP(M318,データ!$E$3:$G$9,3,TRUE),"")</f>
        <v>冬　特別展</v>
      </c>
      <c r="P318" s="63" t="str">
        <f>IF(AND(M318&gt;=VLOOKUP(M318,データ!$E$14:$G$21,1,TRUE),M318&lt;=VLOOKUP(M318,データ!$E$14:$G$21,2,TRUE)),VLOOKUP(M318,データ!$E$14:$G$21,3,TRUE),"")</f>
        <v>テーマ展</v>
      </c>
      <c r="Q318" s="45" t="str">
        <f t="shared" si="311"/>
        <v>○</v>
      </c>
      <c r="R318" s="45"/>
      <c r="S318" s="33" t="str">
        <f t="shared" si="312"/>
        <v/>
      </c>
      <c r="T318" s="10"/>
      <c r="U318" s="10" t="str">
        <f t="shared" si="313"/>
        <v>●</v>
      </c>
      <c r="V318" s="32"/>
      <c r="W318" s="33" t="str">
        <f t="shared" si="314"/>
        <v/>
      </c>
      <c r="X318" s="32"/>
      <c r="Y318" s="33" t="str">
        <f t="shared" si="315"/>
        <v>○</v>
      </c>
      <c r="Z318" s="32">
        <f>IF(L318="閉","",(IF(AND(M318&gt;=VLOOKUP(M318,データ!$E$3:$G$9,1,TRUE),M318&lt;=VLOOKUP(M318,データ!$E$3:$G$9,2,TRUE)),VLOOKUP(M318,データ!$E$3:$H$9,4,TRUE),0)+IF(AND(M318&gt;=VLOOKUP(M318,データ!$E$14:$G$21,1,TRUE),M318&lt;=VLOOKUP(M318,データ!$E$14:$G$21,2,TRUE)),VLOOKUP(M318,データ!$E$14:$H$21,4,TRUE),0)))</f>
        <v>5</v>
      </c>
      <c r="AA318" s="33" t="str">
        <f t="shared" si="316"/>
        <v>○</v>
      </c>
      <c r="AB318" s="227">
        <f t="shared" si="318"/>
        <v>0.41666666666666669</v>
      </c>
      <c r="AC318" s="227">
        <f t="shared" si="317"/>
        <v>0.70833333333333337</v>
      </c>
      <c r="AD318" s="228" t="str">
        <f>IF(K318=1,IF(ISERROR(VLOOKUP(M318,データ!$A$3:$C$23,2,FALSE)),"",VLOOKUP(M318,データ!$A$3:$C$23,2,FALSE)),(IF(ISERROR(VLOOKUP(M318,データ!$A$3:$C$23,2,FALSE)),"",VLOOKUP(M318,データ!$A$3:$C$23,2,FALSE))))</f>
        <v/>
      </c>
    </row>
    <row r="319" spans="1:30">
      <c r="A319" s="1">
        <f>IF(AND(M319&gt;=VLOOKUP(M319,データ!$K$3:$O$6,1,TRUE),M319&lt;=VLOOKUP(M319,データ!$K$3:$O$6,2,TRUE)),VLOOKUP(M319,データ!$K$3:$O$6,5,TRUE),"")</f>
        <v>1</v>
      </c>
      <c r="B319" s="74">
        <f>IF(AND(M319&gt;=VLOOKUP(M319,データ!$K$3:$O$6,1,TRUE),M319&lt;=VLOOKUP(M319,データ!$K$3:$O$6,2,TRUE)),VLOOKUP(M319,データ!$K$3:$O$6,3,TRUE),"")</f>
        <v>0.41666666666666669</v>
      </c>
      <c r="C319" s="1">
        <f>IF(AND(M319&gt;=VLOOKUP(M319,データ!$K$11:$O$16,1,TRUE),M319&lt;=VLOOKUP(M319,データ!$K$11:$O$16,2,TRUE)),VLOOKUP(M319,データ!$K$11:$O$16,5,TRUE),0)</f>
        <v>0</v>
      </c>
      <c r="D319" s="74" t="str">
        <f>IF(AND(M319&gt;=VLOOKUP(M319,データ!$K$11:$O$16,1,TRUE),M319&lt;=VLOOKUP(M319,データ!$K$11:$O$16,2,TRUE)),VLOOKUP(M319,データ!$K$11:$O$16,3,TRUE),"")</f>
        <v/>
      </c>
      <c r="E319" s="74">
        <f t="shared" si="307"/>
        <v>0.41666666666666669</v>
      </c>
      <c r="F319" s="75">
        <f>VLOOKUP(E319,データ!$K$20:$O$24,5,FALSE)</f>
        <v>0</v>
      </c>
      <c r="G319" s="74">
        <f>IF(AND(M319&gt;=VLOOKUP(M319,データ!$K$3:$O$6,1,TRUE),M319&lt;=VLOOKUP(M319,データ!$K$3:$O$6,2,TRUE)),VLOOKUP(M319,データ!$K$3:$O$6,4,TRUE),"")</f>
        <v>0.70833333333333337</v>
      </c>
      <c r="H319" s="256">
        <f>INDEX(データ!L$21:N$24,MATCH(配置表!E319,データ!K$21:K$24,0),MATCH(配置表!G319,データ!L$20:N$20,0))</f>
        <v>1</v>
      </c>
      <c r="I319" s="52" t="str">
        <f>IF(ISERROR(VLOOKUP(M319,データ!$A$3:$C$20,3,FALSE)),"",VLOOKUP(M319,データ!$A$3:$C$20,3,FALSE))</f>
        <v/>
      </c>
      <c r="J319" s="52" t="str">
        <f t="shared" si="308"/>
        <v/>
      </c>
      <c r="K319" s="53">
        <f t="shared" si="321"/>
        <v>0</v>
      </c>
      <c r="L319" s="28" t="str">
        <f t="shared" si="309"/>
        <v/>
      </c>
      <c r="M319" s="9">
        <f t="shared" si="319"/>
        <v>46038</v>
      </c>
      <c r="N319" s="10" t="str">
        <f t="shared" si="310"/>
        <v>金</v>
      </c>
      <c r="O319" s="63" t="str">
        <f>IF(AND(M319&gt;=VLOOKUP(M319,データ!$E$3:$G$9,1,TRUE),M319&lt;=VLOOKUP(M319,データ!$E$3:$G$9,2,TRUE)),VLOOKUP(M319,データ!$E$3:$G$9,3,TRUE),"")</f>
        <v>冬　特別展</v>
      </c>
      <c r="P319" s="63" t="str">
        <f>IF(AND(M319&gt;=VLOOKUP(M319,データ!$E$14:$G$21,1,TRUE),M319&lt;=VLOOKUP(M319,データ!$E$14:$G$21,2,TRUE)),VLOOKUP(M319,データ!$E$14:$G$21,3,TRUE),"")</f>
        <v>テーマ展</v>
      </c>
      <c r="Q319" s="45" t="str">
        <f t="shared" si="311"/>
        <v>○</v>
      </c>
      <c r="R319" s="45"/>
      <c r="S319" s="33" t="str">
        <f t="shared" si="312"/>
        <v/>
      </c>
      <c r="T319" s="10"/>
      <c r="U319" s="10" t="str">
        <f t="shared" si="313"/>
        <v>●</v>
      </c>
      <c r="V319" s="32"/>
      <c r="W319" s="33" t="str">
        <f t="shared" si="314"/>
        <v/>
      </c>
      <c r="X319" s="32"/>
      <c r="Y319" s="33" t="str">
        <f t="shared" si="315"/>
        <v>○</v>
      </c>
      <c r="Z319" s="32">
        <f>IF(L319="閉","",(IF(AND(M319&gt;=VLOOKUP(M319,データ!$E$3:$G$9,1,TRUE),M319&lt;=VLOOKUP(M319,データ!$E$3:$G$9,2,TRUE)),VLOOKUP(M319,データ!$E$3:$H$9,4,TRUE),0)+IF(AND(M319&gt;=VLOOKUP(M319,データ!$E$14:$G$21,1,TRUE),M319&lt;=VLOOKUP(M319,データ!$E$14:$G$21,2,TRUE)),VLOOKUP(M319,データ!$E$14:$H$21,4,TRUE),0)))</f>
        <v>5</v>
      </c>
      <c r="AA319" s="33" t="str">
        <f t="shared" si="316"/>
        <v>○</v>
      </c>
      <c r="AB319" s="227">
        <f t="shared" si="318"/>
        <v>0.41666666666666669</v>
      </c>
      <c r="AC319" s="227">
        <f t="shared" si="317"/>
        <v>0.70833333333333337</v>
      </c>
      <c r="AD319" s="228" t="str">
        <f>IF(K319=1,IF(ISERROR(VLOOKUP(M319,データ!$A$3:$C$23,2,FALSE)),"",VLOOKUP(M319,データ!$A$3:$C$23,2,FALSE)),(IF(ISERROR(VLOOKUP(M319,データ!$A$3:$C$23,2,FALSE)),"",VLOOKUP(M319,データ!$A$3:$C$23,2,FALSE))))</f>
        <v/>
      </c>
    </row>
    <row r="320" spans="1:30">
      <c r="A320" s="1">
        <f>IF(AND(M320&gt;=VLOOKUP(M320,データ!$K$3:$O$6,1,TRUE),M320&lt;=VLOOKUP(M320,データ!$K$3:$O$6,2,TRUE)),VLOOKUP(M320,データ!$K$3:$O$6,5,TRUE),"")</f>
        <v>1</v>
      </c>
      <c r="B320" s="74">
        <f>IF(AND(M320&gt;=VLOOKUP(M320,データ!$K$3:$O$6,1,TRUE),M320&lt;=VLOOKUP(M320,データ!$K$3:$O$6,2,TRUE)),VLOOKUP(M320,データ!$K$3:$O$6,3,TRUE),"")</f>
        <v>0.41666666666666669</v>
      </c>
      <c r="C320" s="1">
        <f>IF(AND(M320&gt;=VLOOKUP(M320,データ!$K$11:$O$16,1,TRUE),M320&lt;=VLOOKUP(M320,データ!$K$11:$O$16,2,TRUE)),VLOOKUP(M320,データ!$K$11:$O$16,5,TRUE),0)</f>
        <v>0</v>
      </c>
      <c r="D320" s="74" t="str">
        <f>IF(AND(M320&gt;=VLOOKUP(M320,データ!$K$11:$O$16,1,TRUE),M320&lt;=VLOOKUP(M320,データ!$K$11:$O$16,2,TRUE)),VLOOKUP(M320,データ!$K$11:$O$16,3,TRUE),"")</f>
        <v/>
      </c>
      <c r="E320" s="74">
        <f t="shared" si="307"/>
        <v>0.41666666666666669</v>
      </c>
      <c r="F320" s="75">
        <f>VLOOKUP(E320,データ!$K$20:$O$24,5,FALSE)</f>
        <v>0</v>
      </c>
      <c r="G320" s="74">
        <f>IF(AND(M320&gt;=VLOOKUP(M320,データ!$K$3:$O$6,1,TRUE),M320&lt;=VLOOKUP(M320,データ!$K$3:$O$6,2,TRUE)),VLOOKUP(M320,データ!$K$3:$O$6,4,TRUE),"")</f>
        <v>0.70833333333333337</v>
      </c>
      <c r="H320" s="256">
        <f>INDEX(データ!L$21:N$24,MATCH(配置表!E320,データ!K$21:K$24,0),MATCH(配置表!G320,データ!L$20:N$20,0))</f>
        <v>1</v>
      </c>
      <c r="I320" s="52" t="str">
        <f>IF(ISERROR(VLOOKUP(M320,データ!$A$3:$C$20,3,FALSE)),"",VLOOKUP(M320,データ!$A$3:$C$20,3,FALSE))</f>
        <v/>
      </c>
      <c r="J320" s="52" t="str">
        <f t="shared" si="308"/>
        <v/>
      </c>
      <c r="K320" s="53">
        <f t="shared" si="321"/>
        <v>0</v>
      </c>
      <c r="L320" s="28" t="str">
        <f t="shared" si="309"/>
        <v/>
      </c>
      <c r="M320" s="9">
        <f t="shared" si="319"/>
        <v>46039</v>
      </c>
      <c r="N320" s="10" t="str">
        <f t="shared" si="310"/>
        <v>土</v>
      </c>
      <c r="O320" s="63" t="str">
        <f>IF(AND(M320&gt;=VLOOKUP(M320,データ!$E$3:$G$9,1,TRUE),M320&lt;=VLOOKUP(M320,データ!$E$3:$G$9,2,TRUE)),VLOOKUP(M320,データ!$E$3:$G$9,3,TRUE),"")</f>
        <v>冬　特別展</v>
      </c>
      <c r="P320" s="63" t="str">
        <f>IF(AND(M320&gt;=VLOOKUP(M320,データ!$E$14:$G$21,1,TRUE),M320&lt;=VLOOKUP(M320,データ!$E$14:$G$21,2,TRUE)),VLOOKUP(M320,データ!$E$14:$G$21,3,TRUE),"")</f>
        <v>テーマ展</v>
      </c>
      <c r="Q320" s="45" t="str">
        <f t="shared" si="311"/>
        <v>○</v>
      </c>
      <c r="R320" s="45"/>
      <c r="S320" s="33" t="str">
        <f t="shared" ref="S320:S321" si="326">IF(H320="閉","休",IF(K320="","",IF(OR(J320="土",J320="日",E320=1),IF(OR(K320="ダミー　特別展",K320="ダミー　特別展"),"◎",IF(OR(K320="夏　特別展",K320="秋　特別展",K320="春　特別展"),"○","")),"")))</f>
        <v/>
      </c>
      <c r="T320" s="45"/>
      <c r="U320" s="33" t="str">
        <f t="shared" si="313"/>
        <v>●</v>
      </c>
      <c r="V320" s="32"/>
      <c r="W320" s="33" t="str">
        <f>IF(P320="閉","休",IF(O320="","",IF(O320="冬　特別展",IF(OR(N320="土",N320="日",I320=1),"◎",""),"○")))</f>
        <v>◎</v>
      </c>
      <c r="X320" s="32"/>
      <c r="Y320" s="33" t="str">
        <f t="shared" si="315"/>
        <v>○</v>
      </c>
      <c r="Z320" s="32">
        <f>IF(L320="閉","",(IF(AND(M320&gt;=VLOOKUP(M320,データ!$E$3:$G$9,1,TRUE),M320&lt;=VLOOKUP(M320,データ!$E$3:$G$9,2,TRUE)),VLOOKUP(M320,データ!$E$3:$H$9,4,TRUE),0)+IF(AND(M320&gt;=VLOOKUP(M320,データ!$E$14:$G$21,1,TRUE),M320&lt;=VLOOKUP(M320,データ!$E$14:$G$21,2,TRUE)),VLOOKUP(M320,データ!$E$14:$H$21,4,TRUE),0)))</f>
        <v>5</v>
      </c>
      <c r="AA320" s="33" t="str">
        <f t="shared" si="316"/>
        <v>○</v>
      </c>
      <c r="AB320" s="227">
        <f t="shared" si="318"/>
        <v>0.41666666666666669</v>
      </c>
      <c r="AC320" s="227">
        <f t="shared" si="317"/>
        <v>0.70833333333333337</v>
      </c>
      <c r="AD320" s="228" t="str">
        <f>IF(K320=1,IF(ISERROR(VLOOKUP(M320,データ!$A$3:$C$23,2,FALSE)),"",VLOOKUP(M320,データ!$A$3:$C$23,2,FALSE)),(IF(ISERROR(VLOOKUP(M320,データ!$A$3:$C$23,2,FALSE)),"",VLOOKUP(M320,データ!$A$3:$C$23,2,FALSE))))</f>
        <v/>
      </c>
    </row>
    <row r="321" spans="1:30">
      <c r="A321" s="1">
        <f>IF(AND(M321&gt;=VLOOKUP(M321,データ!$K$3:$O$6,1,TRUE),M321&lt;=VLOOKUP(M321,データ!$K$3:$O$6,2,TRUE)),VLOOKUP(M321,データ!$K$3:$O$6,5,TRUE),"")</f>
        <v>1</v>
      </c>
      <c r="B321" s="74">
        <f>IF(AND(M321&gt;=VLOOKUP(M321,データ!$K$3:$O$6,1,TRUE),M321&lt;=VLOOKUP(M321,データ!$K$3:$O$6,2,TRUE)),VLOOKUP(M321,データ!$K$3:$O$6,3,TRUE),"")</f>
        <v>0.41666666666666669</v>
      </c>
      <c r="C321" s="1">
        <f>IF(AND(M321&gt;=VLOOKUP(M321,データ!$K$11:$O$16,1,TRUE),M321&lt;=VLOOKUP(M321,データ!$K$11:$O$16,2,TRUE)),VLOOKUP(M321,データ!$K$11:$O$16,5,TRUE),0)</f>
        <v>0</v>
      </c>
      <c r="D321" s="74" t="str">
        <f>IF(AND(M321&gt;=VLOOKUP(M321,データ!$K$11:$O$16,1,TRUE),M321&lt;=VLOOKUP(M321,データ!$K$11:$O$16,2,TRUE)),VLOOKUP(M321,データ!$K$11:$O$16,3,TRUE),"")</f>
        <v/>
      </c>
      <c r="E321" s="74">
        <f t="shared" si="307"/>
        <v>0.41666666666666669</v>
      </c>
      <c r="F321" s="75">
        <f>VLOOKUP(E321,データ!$K$20:$O$24,5,FALSE)</f>
        <v>0</v>
      </c>
      <c r="G321" s="74">
        <f>IF(AND(M321&gt;=VLOOKUP(M321,データ!$K$3:$O$6,1,TRUE),M321&lt;=VLOOKUP(M321,データ!$K$3:$O$6,2,TRUE)),VLOOKUP(M321,データ!$K$3:$O$6,4,TRUE),"")</f>
        <v>0.70833333333333337</v>
      </c>
      <c r="H321" s="256">
        <f>INDEX(データ!L$21:N$24,MATCH(配置表!E321,データ!K$21:K$24,0),MATCH(配置表!G321,データ!L$20:N$20,0))</f>
        <v>1</v>
      </c>
      <c r="I321" s="52" t="str">
        <f>IF(ISERROR(VLOOKUP(M321,データ!$A$3:$C$20,3,FALSE)),"",VLOOKUP(M321,データ!$A$3:$C$20,3,FALSE))</f>
        <v/>
      </c>
      <c r="J321" s="52" t="str">
        <f t="shared" si="308"/>
        <v/>
      </c>
      <c r="K321" s="53">
        <f t="shared" si="321"/>
        <v>0</v>
      </c>
      <c r="L321" s="28" t="str">
        <f t="shared" si="309"/>
        <v/>
      </c>
      <c r="M321" s="9">
        <f t="shared" si="319"/>
        <v>46040</v>
      </c>
      <c r="N321" s="10" t="str">
        <f t="shared" si="310"/>
        <v>日</v>
      </c>
      <c r="O321" s="63" t="str">
        <f>IF(AND(M321&gt;=VLOOKUP(M321,データ!$E$3:$G$9,1,TRUE),M321&lt;=VLOOKUP(M321,データ!$E$3:$G$9,2,TRUE)),VLOOKUP(M321,データ!$E$3:$G$9,3,TRUE),"")</f>
        <v>冬　特別展</v>
      </c>
      <c r="P321" s="63" t="str">
        <f>IF(AND(M321&gt;=VLOOKUP(M321,データ!$E$14:$G$21,1,TRUE),M321&lt;=VLOOKUP(M321,データ!$E$14:$G$21,2,TRUE)),VLOOKUP(M321,データ!$E$14:$G$21,3,TRUE),"")</f>
        <v>テーマ展</v>
      </c>
      <c r="Q321" s="45" t="str">
        <f t="shared" si="311"/>
        <v>○</v>
      </c>
      <c r="R321" s="45"/>
      <c r="S321" s="33" t="str">
        <f t="shared" si="326"/>
        <v/>
      </c>
      <c r="T321" s="45"/>
      <c r="U321" s="33" t="str">
        <f t="shared" si="313"/>
        <v>●</v>
      </c>
      <c r="V321" s="32"/>
      <c r="W321" s="33" t="str">
        <f>IF(P321="閉","休",IF(O321="","",IF(O321="冬　特別展",IF(OR(N321="土",N321="日",I321=1),"◎",""),"○")))</f>
        <v>◎</v>
      </c>
      <c r="X321" s="32"/>
      <c r="Y321" s="33" t="str">
        <f t="shared" si="315"/>
        <v>○</v>
      </c>
      <c r="Z321" s="32">
        <f>IF(L321="閉","",(IF(AND(M321&gt;=VLOOKUP(M321,データ!$E$3:$G$9,1,TRUE),M321&lt;=VLOOKUP(M321,データ!$E$3:$G$9,2,TRUE)),VLOOKUP(M321,データ!$E$3:$H$9,4,TRUE),0)+IF(AND(M321&gt;=VLOOKUP(M321,データ!$E$14:$G$21,1,TRUE),M321&lt;=VLOOKUP(M321,データ!$E$14:$G$21,2,TRUE)),VLOOKUP(M321,データ!$E$14:$H$21,4,TRUE),0)))</f>
        <v>5</v>
      </c>
      <c r="AA321" s="33" t="str">
        <f t="shared" si="316"/>
        <v>○</v>
      </c>
      <c r="AB321" s="227">
        <f t="shared" si="318"/>
        <v>0.41666666666666669</v>
      </c>
      <c r="AC321" s="227">
        <f t="shared" si="317"/>
        <v>0.70833333333333337</v>
      </c>
      <c r="AD321" s="228" t="str">
        <f>IF(K321=1,IF(ISERROR(VLOOKUP(M321,データ!$A$3:$C$23,2,FALSE)),"",VLOOKUP(M321,データ!$A$3:$C$23,2,FALSE)),(IF(ISERROR(VLOOKUP(M321,データ!$A$3:$C$23,2,FALSE)),"",VLOOKUP(M321,データ!$A$3:$C$23,2,FALSE))))</f>
        <v/>
      </c>
    </row>
    <row r="322" spans="1:30">
      <c r="A322" s="1">
        <f>IF(AND(M322&gt;=VLOOKUP(M322,データ!$K$3:$O$6,1,TRUE),M322&lt;=VLOOKUP(M322,データ!$K$3:$O$6,2,TRUE)),VLOOKUP(M322,データ!$K$3:$O$6,5,TRUE),"")</f>
        <v>1</v>
      </c>
      <c r="B322" s="74">
        <f>IF(AND(M322&gt;=VLOOKUP(M322,データ!$K$3:$O$6,1,TRUE),M322&lt;=VLOOKUP(M322,データ!$K$3:$O$6,2,TRUE)),VLOOKUP(M322,データ!$K$3:$O$6,3,TRUE),"")</f>
        <v>0.41666666666666669</v>
      </c>
      <c r="C322" s="1">
        <f>IF(AND(M322&gt;=VLOOKUP(M322,データ!$K$11:$O$16,1,TRUE),M322&lt;=VLOOKUP(M322,データ!$K$11:$O$16,2,TRUE)),VLOOKUP(M322,データ!$K$11:$O$16,5,TRUE),0)</f>
        <v>0</v>
      </c>
      <c r="D322" s="74" t="str">
        <f>IF(AND(M322&gt;=VLOOKUP(M322,データ!$K$11:$O$16,1,TRUE),M322&lt;=VLOOKUP(M322,データ!$K$11:$O$16,2,TRUE)),VLOOKUP(M322,データ!$K$11:$O$16,3,TRUE),"")</f>
        <v/>
      </c>
      <c r="E322" s="74">
        <f t="shared" si="307"/>
        <v>0.41666666666666669</v>
      </c>
      <c r="F322" s="75">
        <f>VLOOKUP(E322,データ!$K$20:$O$24,5,FALSE)</f>
        <v>0</v>
      </c>
      <c r="G322" s="74">
        <f>IF(AND(M322&gt;=VLOOKUP(M322,データ!$K$3:$O$6,1,TRUE),M322&lt;=VLOOKUP(M322,データ!$K$3:$O$6,2,TRUE)),VLOOKUP(M322,データ!$K$3:$O$6,4,TRUE),"")</f>
        <v>0.70833333333333337</v>
      </c>
      <c r="H322" s="256">
        <f>INDEX(データ!L$21:N$24,MATCH(配置表!E322,データ!K$21:K$24,0),MATCH(配置表!G322,データ!L$20:N$20,0))</f>
        <v>1</v>
      </c>
      <c r="I322" s="52" t="str">
        <f>IF(ISERROR(VLOOKUP(M322,データ!$A$3:$C$20,3,FALSE)),"",VLOOKUP(M322,データ!$A$3:$C$20,3,FALSE))</f>
        <v/>
      </c>
      <c r="J322" s="52">
        <f t="shared" si="308"/>
        <v>1</v>
      </c>
      <c r="K322" s="53">
        <f t="shared" si="321"/>
        <v>1</v>
      </c>
      <c r="L322" s="28" t="str">
        <f t="shared" si="309"/>
        <v>閉</v>
      </c>
      <c r="M322" s="9">
        <f t="shared" si="319"/>
        <v>46041</v>
      </c>
      <c r="N322" s="10" t="str">
        <f t="shared" si="310"/>
        <v>月</v>
      </c>
      <c r="O322" s="63" t="str">
        <f>IF(AND(M322&gt;=VLOOKUP(M322,データ!$E$3:$G$9,1,TRUE),M322&lt;=VLOOKUP(M322,データ!$E$3:$G$9,2,TRUE)),VLOOKUP(M322,データ!$E$3:$G$9,3,TRUE),"")</f>
        <v>冬　特別展</v>
      </c>
      <c r="P322" s="63" t="str">
        <f>IF(AND(M322&gt;=VLOOKUP(M322,データ!$E$14:$G$21,1,TRUE),M322&lt;=VLOOKUP(M322,データ!$E$14:$G$21,2,TRUE)),VLOOKUP(M322,データ!$E$14:$G$21,3,TRUE),"")</f>
        <v>テーマ展</v>
      </c>
      <c r="Q322" s="44" t="str">
        <f t="shared" si="311"/>
        <v>休</v>
      </c>
      <c r="R322" s="32"/>
      <c r="S322" s="33" t="str">
        <f t="shared" si="312"/>
        <v>休</v>
      </c>
      <c r="T322" s="32"/>
      <c r="U322" s="33" t="str">
        <f t="shared" si="313"/>
        <v>休</v>
      </c>
      <c r="V322" s="32"/>
      <c r="W322" s="33" t="str">
        <f t="shared" si="314"/>
        <v>休</v>
      </c>
      <c r="X322" s="32"/>
      <c r="Y322" s="33" t="str">
        <f t="shared" si="315"/>
        <v>休</v>
      </c>
      <c r="Z322" s="32" t="str">
        <f>IF(L322="閉","",(IF(AND(M322&gt;=VLOOKUP(M322,データ!$E$3:$G$9,1,TRUE),M322&lt;=VLOOKUP(M322,データ!$E$3:$G$9,2,TRUE)),VLOOKUP(M322,データ!$E$3:$H$9,4,TRUE),0)+IF(AND(M322&gt;=VLOOKUP(M322,データ!$E$14:$G$21,1,TRUE),M322&lt;=VLOOKUP(M322,データ!$E$14:$G$21,2,TRUE)),VLOOKUP(M322,データ!$E$14:$H$21,4,TRUE),0)))</f>
        <v/>
      </c>
      <c r="AA322" s="33" t="str">
        <f t="shared" si="316"/>
        <v>休</v>
      </c>
      <c r="AB322" s="227" t="str">
        <f t="shared" si="318"/>
        <v/>
      </c>
      <c r="AC322" s="227" t="str">
        <f t="shared" si="317"/>
        <v/>
      </c>
      <c r="AD322" s="228" t="str">
        <f>IF(K322=1,IF(ISERROR(VLOOKUP(M322,データ!$A$3:$C$23,2,FALSE)),"",VLOOKUP(M322,データ!$A$3:$C$23,2,FALSE)),(IF(ISERROR(VLOOKUP(M322,データ!$A$3:$C$23,2,FALSE)),"",VLOOKUP(M322,データ!$A$3:$C$23,2,FALSE))))</f>
        <v/>
      </c>
    </row>
    <row r="323" spans="1:30">
      <c r="A323" s="1">
        <f>IF(AND(M323&gt;=VLOOKUP(M323,データ!$K$3:$O$6,1,TRUE),M323&lt;=VLOOKUP(M323,データ!$K$3:$O$6,2,TRUE)),VLOOKUP(M323,データ!$K$3:$O$6,5,TRUE),"")</f>
        <v>1</v>
      </c>
      <c r="B323" s="74">
        <f>IF(AND(M323&gt;=VLOOKUP(M323,データ!$K$3:$O$6,1,TRUE),M323&lt;=VLOOKUP(M323,データ!$K$3:$O$6,2,TRUE)),VLOOKUP(M323,データ!$K$3:$O$6,3,TRUE),"")</f>
        <v>0.41666666666666669</v>
      </c>
      <c r="C323" s="1">
        <f>IF(AND(M323&gt;=VLOOKUP(M323,データ!$K$11:$O$16,1,TRUE),M323&lt;=VLOOKUP(M323,データ!$K$11:$O$16,2,TRUE)),VLOOKUP(M323,データ!$K$11:$O$16,5,TRUE),0)</f>
        <v>0</v>
      </c>
      <c r="D323" s="74" t="str">
        <f>IF(AND(M323&gt;=VLOOKUP(M323,データ!$K$11:$O$16,1,TRUE),M323&lt;=VLOOKUP(M323,データ!$K$11:$O$16,2,TRUE)),VLOOKUP(M323,データ!$K$11:$O$16,3,TRUE),"")</f>
        <v/>
      </c>
      <c r="E323" s="74">
        <f t="shared" si="307"/>
        <v>0.41666666666666669</v>
      </c>
      <c r="F323" s="75">
        <f>VLOOKUP(E323,データ!$K$20:$O$24,5,FALSE)</f>
        <v>0</v>
      </c>
      <c r="G323" s="74">
        <f>IF(AND(M323&gt;=VLOOKUP(M323,データ!$K$3:$O$6,1,TRUE),M323&lt;=VLOOKUP(M323,データ!$K$3:$O$6,2,TRUE)),VLOOKUP(M323,データ!$K$3:$O$6,4,TRUE),"")</f>
        <v>0.70833333333333337</v>
      </c>
      <c r="H323" s="256">
        <f>INDEX(データ!L$21:N$24,MATCH(配置表!E323,データ!K$21:K$24,0),MATCH(配置表!G323,データ!L$20:N$20,0))</f>
        <v>1</v>
      </c>
      <c r="I323" s="52" t="str">
        <f>IF(ISERROR(VLOOKUP(M323,データ!$A$3:$C$20,3,FALSE)),"",VLOOKUP(M323,データ!$A$3:$C$20,3,FALSE))</f>
        <v/>
      </c>
      <c r="J323" s="52" t="str">
        <f t="shared" si="308"/>
        <v/>
      </c>
      <c r="K323" s="53">
        <f t="shared" si="321"/>
        <v>0</v>
      </c>
      <c r="L323" s="28" t="str">
        <f t="shared" si="309"/>
        <v/>
      </c>
      <c r="M323" s="9">
        <f t="shared" si="319"/>
        <v>46042</v>
      </c>
      <c r="N323" s="10" t="str">
        <f t="shared" si="310"/>
        <v>火</v>
      </c>
      <c r="O323" s="63" t="str">
        <f>IF(AND(M323&gt;=VLOOKUP(M323,データ!$E$3:$G$9,1,TRUE),M323&lt;=VLOOKUP(M323,データ!$E$3:$G$9,2,TRUE)),VLOOKUP(M323,データ!$E$3:$G$9,3,TRUE),"")</f>
        <v>冬　特別展</v>
      </c>
      <c r="P323" s="63" t="str">
        <f>IF(AND(M323&gt;=VLOOKUP(M323,データ!$E$14:$G$21,1,TRUE),M323&lt;=VLOOKUP(M323,データ!$E$14:$G$21,2,TRUE)),VLOOKUP(M323,データ!$E$14:$G$21,3,TRUE),"")</f>
        <v>テーマ展</v>
      </c>
      <c r="Q323" s="45" t="str">
        <f t="shared" si="311"/>
        <v>○</v>
      </c>
      <c r="R323" s="45"/>
      <c r="S323" s="33" t="str">
        <f t="shared" si="312"/>
        <v/>
      </c>
      <c r="T323" s="10"/>
      <c r="U323" s="10" t="str">
        <f t="shared" si="313"/>
        <v>●</v>
      </c>
      <c r="V323" s="32"/>
      <c r="W323" s="33" t="str">
        <f t="shared" si="314"/>
        <v/>
      </c>
      <c r="X323" s="32"/>
      <c r="Y323" s="33" t="str">
        <f t="shared" si="315"/>
        <v>○</v>
      </c>
      <c r="Z323" s="32">
        <f>IF(L323="閉","",(IF(AND(M323&gt;=VLOOKUP(M323,データ!$E$3:$G$9,1,TRUE),M323&lt;=VLOOKUP(M323,データ!$E$3:$G$9,2,TRUE)),VLOOKUP(M323,データ!$E$3:$H$9,4,TRUE),0)+IF(AND(M323&gt;=VLOOKUP(M323,データ!$E$14:$G$21,1,TRUE),M323&lt;=VLOOKUP(M323,データ!$E$14:$G$21,2,TRUE)),VLOOKUP(M323,データ!$E$14:$H$21,4,TRUE),0)))</f>
        <v>5</v>
      </c>
      <c r="AA323" s="33" t="str">
        <f t="shared" si="316"/>
        <v>○</v>
      </c>
      <c r="AB323" s="227">
        <f t="shared" si="318"/>
        <v>0.41666666666666669</v>
      </c>
      <c r="AC323" s="227">
        <f t="shared" si="317"/>
        <v>0.70833333333333337</v>
      </c>
      <c r="AD323" s="228" t="str">
        <f>IF(K323=1,IF(ISERROR(VLOOKUP(M323,データ!$A$3:$C$23,2,FALSE)),"",VLOOKUP(M323,データ!$A$3:$C$23,2,FALSE)),(IF(ISERROR(VLOOKUP(M323,データ!$A$3:$C$23,2,FALSE)),"",VLOOKUP(M323,データ!$A$3:$C$23,2,FALSE))))</f>
        <v/>
      </c>
    </row>
    <row r="324" spans="1:30">
      <c r="A324" s="1">
        <f>IF(AND(M324&gt;=VLOOKUP(M324,データ!$K$3:$O$6,1,TRUE),M324&lt;=VLOOKUP(M324,データ!$K$3:$O$6,2,TRUE)),VLOOKUP(M324,データ!$K$3:$O$6,5,TRUE),"")</f>
        <v>1</v>
      </c>
      <c r="B324" s="74">
        <f>IF(AND(M324&gt;=VLOOKUP(M324,データ!$K$3:$O$6,1,TRUE),M324&lt;=VLOOKUP(M324,データ!$K$3:$O$6,2,TRUE)),VLOOKUP(M324,データ!$K$3:$O$6,3,TRUE),"")</f>
        <v>0.41666666666666669</v>
      </c>
      <c r="C324" s="1">
        <f>IF(AND(M324&gt;=VLOOKUP(M324,データ!$K$11:$O$16,1,TRUE),M324&lt;=VLOOKUP(M324,データ!$K$11:$O$16,2,TRUE)),VLOOKUP(M324,データ!$K$11:$O$16,5,TRUE),0)</f>
        <v>0</v>
      </c>
      <c r="D324" s="74" t="str">
        <f>IF(AND(M324&gt;=VLOOKUP(M324,データ!$K$11:$O$16,1,TRUE),M324&lt;=VLOOKUP(M324,データ!$K$11:$O$16,2,TRUE)),VLOOKUP(M324,データ!$K$11:$O$16,3,TRUE),"")</f>
        <v/>
      </c>
      <c r="E324" s="74">
        <f t="shared" si="307"/>
        <v>0.41666666666666669</v>
      </c>
      <c r="F324" s="75">
        <f>VLOOKUP(E324,データ!$K$20:$O$24,5,FALSE)</f>
        <v>0</v>
      </c>
      <c r="G324" s="74">
        <f>IF(AND(M324&gt;=VLOOKUP(M324,データ!$K$3:$O$6,1,TRUE),M324&lt;=VLOOKUP(M324,データ!$K$3:$O$6,2,TRUE)),VLOOKUP(M324,データ!$K$3:$O$6,4,TRUE),"")</f>
        <v>0.70833333333333337</v>
      </c>
      <c r="H324" s="256">
        <f>INDEX(データ!L$21:N$24,MATCH(配置表!E324,データ!K$21:K$24,0),MATCH(配置表!G324,データ!L$20:N$20,0))</f>
        <v>1</v>
      </c>
      <c r="I324" s="52" t="str">
        <f>IF(ISERROR(VLOOKUP(M324,データ!$A$3:$C$20,3,FALSE)),"",VLOOKUP(M324,データ!$A$3:$C$20,3,FALSE))</f>
        <v/>
      </c>
      <c r="J324" s="52" t="str">
        <f t="shared" si="308"/>
        <v/>
      </c>
      <c r="K324" s="53">
        <f t="shared" si="321"/>
        <v>0</v>
      </c>
      <c r="L324" s="28" t="str">
        <f t="shared" si="309"/>
        <v/>
      </c>
      <c r="M324" s="9">
        <f t="shared" si="319"/>
        <v>46043</v>
      </c>
      <c r="N324" s="10" t="str">
        <f t="shared" si="310"/>
        <v>水</v>
      </c>
      <c r="O324" s="63" t="str">
        <f>IF(AND(M324&gt;=VLOOKUP(M324,データ!$E$3:$G$9,1,TRUE),M324&lt;=VLOOKUP(M324,データ!$E$3:$G$9,2,TRUE)),VLOOKUP(M324,データ!$E$3:$G$9,3,TRUE),"")</f>
        <v>冬　特別展</v>
      </c>
      <c r="P324" s="63" t="str">
        <f>IF(AND(M324&gt;=VLOOKUP(M324,データ!$E$14:$G$21,1,TRUE),M324&lt;=VLOOKUP(M324,データ!$E$14:$G$21,2,TRUE)),VLOOKUP(M324,データ!$E$14:$G$21,3,TRUE),"")</f>
        <v>テーマ展</v>
      </c>
      <c r="Q324" s="45" t="str">
        <f t="shared" si="311"/>
        <v>○</v>
      </c>
      <c r="R324" s="45"/>
      <c r="S324" s="33" t="str">
        <f t="shared" si="312"/>
        <v/>
      </c>
      <c r="T324" s="10"/>
      <c r="U324" s="10" t="str">
        <f t="shared" si="313"/>
        <v>●</v>
      </c>
      <c r="V324" s="32"/>
      <c r="W324" s="33" t="str">
        <f t="shared" si="314"/>
        <v/>
      </c>
      <c r="X324" s="32"/>
      <c r="Y324" s="33" t="str">
        <f t="shared" si="315"/>
        <v>○</v>
      </c>
      <c r="Z324" s="32">
        <f>IF(L324="閉","",(IF(AND(M324&gt;=VLOOKUP(M324,データ!$E$3:$G$9,1,TRUE),M324&lt;=VLOOKUP(M324,データ!$E$3:$G$9,2,TRUE)),VLOOKUP(M324,データ!$E$3:$H$9,4,TRUE),0)+IF(AND(M324&gt;=VLOOKUP(M324,データ!$E$14:$G$21,1,TRUE),M324&lt;=VLOOKUP(M324,データ!$E$14:$G$21,2,TRUE)),VLOOKUP(M324,データ!$E$14:$H$21,4,TRUE),0)))</f>
        <v>5</v>
      </c>
      <c r="AA324" s="33" t="str">
        <f t="shared" si="316"/>
        <v>○</v>
      </c>
      <c r="AB324" s="227">
        <f t="shared" si="318"/>
        <v>0.41666666666666669</v>
      </c>
      <c r="AC324" s="227">
        <f t="shared" si="317"/>
        <v>0.70833333333333337</v>
      </c>
      <c r="AD324" s="228" t="str">
        <f>IF(K324=1,IF(ISERROR(VLOOKUP(M324,データ!$A$3:$C$23,2,FALSE)),"",VLOOKUP(M324,データ!$A$3:$C$23,2,FALSE)),(IF(ISERROR(VLOOKUP(M324,データ!$A$3:$C$23,2,FALSE)),"",VLOOKUP(M324,データ!$A$3:$C$23,2,FALSE))))</f>
        <v/>
      </c>
    </row>
    <row r="325" spans="1:30">
      <c r="A325" s="1">
        <f>IF(AND(M325&gt;=VLOOKUP(M325,データ!$K$3:$O$6,1,TRUE),M325&lt;=VLOOKUP(M325,データ!$K$3:$O$6,2,TRUE)),VLOOKUP(M325,データ!$K$3:$O$6,5,TRUE),"")</f>
        <v>1</v>
      </c>
      <c r="B325" s="74">
        <f>IF(AND(M325&gt;=VLOOKUP(M325,データ!$K$3:$O$6,1,TRUE),M325&lt;=VLOOKUP(M325,データ!$K$3:$O$6,2,TRUE)),VLOOKUP(M325,データ!$K$3:$O$6,3,TRUE),"")</f>
        <v>0.41666666666666669</v>
      </c>
      <c r="C325" s="1">
        <f>IF(AND(M325&gt;=VLOOKUP(M325,データ!$K$11:$O$16,1,TRUE),M325&lt;=VLOOKUP(M325,データ!$K$11:$O$16,2,TRUE)),VLOOKUP(M325,データ!$K$11:$O$16,5,TRUE),0)</f>
        <v>0</v>
      </c>
      <c r="D325" s="74" t="str">
        <f>IF(AND(M325&gt;=VLOOKUP(M325,データ!$K$11:$O$16,1,TRUE),M325&lt;=VLOOKUP(M325,データ!$K$11:$O$16,2,TRUE)),VLOOKUP(M325,データ!$K$11:$O$16,3,TRUE),"")</f>
        <v/>
      </c>
      <c r="E325" s="74">
        <f t="shared" si="307"/>
        <v>0.41666666666666669</v>
      </c>
      <c r="F325" s="75">
        <f>VLOOKUP(E325,データ!$K$20:$O$24,5,FALSE)</f>
        <v>0</v>
      </c>
      <c r="G325" s="74">
        <f>IF(AND(M325&gt;=VLOOKUP(M325,データ!$K$3:$O$6,1,TRUE),M325&lt;=VLOOKUP(M325,データ!$K$3:$O$6,2,TRUE)),VLOOKUP(M325,データ!$K$3:$O$6,4,TRUE),"")</f>
        <v>0.70833333333333337</v>
      </c>
      <c r="H325" s="256">
        <f>INDEX(データ!L$21:N$24,MATCH(配置表!E325,データ!K$21:K$24,0),MATCH(配置表!G325,データ!L$20:N$20,0))</f>
        <v>1</v>
      </c>
      <c r="I325" s="52" t="str">
        <f>IF(ISERROR(VLOOKUP(M325,データ!$A$3:$C$20,3,FALSE)),"",VLOOKUP(M325,データ!$A$3:$C$20,3,FALSE))</f>
        <v/>
      </c>
      <c r="J325" s="52" t="str">
        <f t="shared" si="308"/>
        <v/>
      </c>
      <c r="K325" s="53">
        <f t="shared" si="321"/>
        <v>0</v>
      </c>
      <c r="L325" s="28" t="str">
        <f t="shared" si="309"/>
        <v/>
      </c>
      <c r="M325" s="9">
        <f t="shared" si="319"/>
        <v>46044</v>
      </c>
      <c r="N325" s="10" t="str">
        <f t="shared" si="310"/>
        <v>木</v>
      </c>
      <c r="O325" s="63" t="str">
        <f>IF(AND(M325&gt;=VLOOKUP(M325,データ!$E$3:$G$9,1,TRUE),M325&lt;=VLOOKUP(M325,データ!$E$3:$G$9,2,TRUE)),VLOOKUP(M325,データ!$E$3:$G$9,3,TRUE),"")</f>
        <v>冬　特別展</v>
      </c>
      <c r="P325" s="63" t="str">
        <f>IF(AND(M325&gt;=VLOOKUP(M325,データ!$E$14:$G$21,1,TRUE),M325&lt;=VLOOKUP(M325,データ!$E$14:$G$21,2,TRUE)),VLOOKUP(M325,データ!$E$14:$G$21,3,TRUE),"")</f>
        <v>テーマ展</v>
      </c>
      <c r="Q325" s="45" t="str">
        <f t="shared" si="311"/>
        <v>○</v>
      </c>
      <c r="R325" s="45"/>
      <c r="S325" s="33" t="str">
        <f t="shared" si="312"/>
        <v/>
      </c>
      <c r="T325" s="10"/>
      <c r="U325" s="10" t="str">
        <f t="shared" si="313"/>
        <v>●</v>
      </c>
      <c r="V325" s="32"/>
      <c r="W325" s="33" t="str">
        <f t="shared" si="314"/>
        <v/>
      </c>
      <c r="X325" s="32"/>
      <c r="Y325" s="33" t="str">
        <f t="shared" si="315"/>
        <v>○</v>
      </c>
      <c r="Z325" s="32">
        <f>IF(L325="閉","",(IF(AND(M325&gt;=VLOOKUP(M325,データ!$E$3:$G$9,1,TRUE),M325&lt;=VLOOKUP(M325,データ!$E$3:$G$9,2,TRUE)),VLOOKUP(M325,データ!$E$3:$H$9,4,TRUE),0)+IF(AND(M325&gt;=VLOOKUP(M325,データ!$E$14:$G$21,1,TRUE),M325&lt;=VLOOKUP(M325,データ!$E$14:$G$21,2,TRUE)),VLOOKUP(M325,データ!$E$14:$H$21,4,TRUE),0)))</f>
        <v>5</v>
      </c>
      <c r="AA325" s="33" t="str">
        <f t="shared" si="316"/>
        <v>○</v>
      </c>
      <c r="AB325" s="227">
        <f t="shared" si="318"/>
        <v>0.41666666666666669</v>
      </c>
      <c r="AC325" s="227">
        <f t="shared" si="317"/>
        <v>0.70833333333333337</v>
      </c>
      <c r="AD325" s="228" t="str">
        <f>IF(K325=1,IF(ISERROR(VLOOKUP(M325,データ!$A$3:$C$23,2,FALSE)),"",VLOOKUP(M325,データ!$A$3:$C$23,2,FALSE)),(IF(ISERROR(VLOOKUP(M325,データ!$A$3:$C$23,2,FALSE)),"",VLOOKUP(M325,データ!$A$3:$C$23,2,FALSE))))</f>
        <v/>
      </c>
    </row>
    <row r="326" spans="1:30">
      <c r="A326" s="1">
        <f>IF(AND(M326&gt;=VLOOKUP(M326,データ!$K$3:$O$6,1,TRUE),M326&lt;=VLOOKUP(M326,データ!$K$3:$O$6,2,TRUE)),VLOOKUP(M326,データ!$K$3:$O$6,5,TRUE),"")</f>
        <v>1</v>
      </c>
      <c r="B326" s="74">
        <f>IF(AND(M326&gt;=VLOOKUP(M326,データ!$K$3:$O$6,1,TRUE),M326&lt;=VLOOKUP(M326,データ!$K$3:$O$6,2,TRUE)),VLOOKUP(M326,データ!$K$3:$O$6,3,TRUE),"")</f>
        <v>0.41666666666666669</v>
      </c>
      <c r="C326" s="1">
        <f>IF(AND(M326&gt;=VLOOKUP(M326,データ!$K$11:$O$16,1,TRUE),M326&lt;=VLOOKUP(M326,データ!$K$11:$O$16,2,TRUE)),VLOOKUP(M326,データ!$K$11:$O$16,5,TRUE),0)</f>
        <v>0</v>
      </c>
      <c r="D326" s="74" t="str">
        <f>IF(AND(M326&gt;=VLOOKUP(M326,データ!$K$11:$O$16,1,TRUE),M326&lt;=VLOOKUP(M326,データ!$K$11:$O$16,2,TRUE)),VLOOKUP(M326,データ!$K$11:$O$16,3,TRUE),"")</f>
        <v/>
      </c>
      <c r="E326" s="74">
        <f t="shared" si="307"/>
        <v>0.41666666666666669</v>
      </c>
      <c r="F326" s="75">
        <f>VLOOKUP(E326,データ!$K$20:$O$24,5,FALSE)</f>
        <v>0</v>
      </c>
      <c r="G326" s="74">
        <f>IF(AND(M326&gt;=VLOOKUP(M326,データ!$K$3:$O$6,1,TRUE),M326&lt;=VLOOKUP(M326,データ!$K$3:$O$6,2,TRUE)),VLOOKUP(M326,データ!$K$3:$O$6,4,TRUE),"")</f>
        <v>0.70833333333333337</v>
      </c>
      <c r="H326" s="256">
        <f>INDEX(データ!L$21:N$24,MATCH(配置表!E326,データ!K$21:K$24,0),MATCH(配置表!G326,データ!L$20:N$20,0))</f>
        <v>1</v>
      </c>
      <c r="I326" s="52" t="str">
        <f>IF(ISERROR(VLOOKUP(M326,データ!$A$3:$C$20,3,FALSE)),"",VLOOKUP(M326,データ!$A$3:$C$20,3,FALSE))</f>
        <v/>
      </c>
      <c r="J326" s="52" t="str">
        <f t="shared" si="308"/>
        <v/>
      </c>
      <c r="K326" s="53">
        <f t="shared" si="321"/>
        <v>0</v>
      </c>
      <c r="L326" s="28" t="str">
        <f t="shared" si="309"/>
        <v/>
      </c>
      <c r="M326" s="9">
        <f t="shared" si="319"/>
        <v>46045</v>
      </c>
      <c r="N326" s="10" t="str">
        <f t="shared" si="310"/>
        <v>金</v>
      </c>
      <c r="O326" s="63" t="str">
        <f>IF(AND(M326&gt;=VLOOKUP(M326,データ!$E$3:$G$9,1,TRUE),M326&lt;=VLOOKUP(M326,データ!$E$3:$G$9,2,TRUE)),VLOOKUP(M326,データ!$E$3:$G$9,3,TRUE),"")</f>
        <v>冬　特別展</v>
      </c>
      <c r="P326" s="63" t="str">
        <f>IF(AND(M326&gt;=VLOOKUP(M326,データ!$E$14:$G$21,1,TRUE),M326&lt;=VLOOKUP(M326,データ!$E$14:$G$21,2,TRUE)),VLOOKUP(M326,データ!$E$14:$G$21,3,TRUE),"")</f>
        <v>テーマ展</v>
      </c>
      <c r="Q326" s="45" t="str">
        <f t="shared" si="311"/>
        <v>○</v>
      </c>
      <c r="R326" s="45"/>
      <c r="S326" s="33" t="str">
        <f t="shared" si="312"/>
        <v/>
      </c>
      <c r="T326" s="10"/>
      <c r="U326" s="10" t="str">
        <f t="shared" si="313"/>
        <v>●</v>
      </c>
      <c r="V326" s="32"/>
      <c r="W326" s="33" t="str">
        <f t="shared" si="314"/>
        <v/>
      </c>
      <c r="X326" s="32"/>
      <c r="Y326" s="33" t="str">
        <f t="shared" si="315"/>
        <v>○</v>
      </c>
      <c r="Z326" s="32">
        <f>IF(L326="閉","",(IF(AND(M326&gt;=VLOOKUP(M326,データ!$E$3:$G$9,1,TRUE),M326&lt;=VLOOKUP(M326,データ!$E$3:$G$9,2,TRUE)),VLOOKUP(M326,データ!$E$3:$H$9,4,TRUE),0)+IF(AND(M326&gt;=VLOOKUP(M326,データ!$E$14:$G$21,1,TRUE),M326&lt;=VLOOKUP(M326,データ!$E$14:$G$21,2,TRUE)),VLOOKUP(M326,データ!$E$14:$H$21,4,TRUE),0)))</f>
        <v>5</v>
      </c>
      <c r="AA326" s="33" t="str">
        <f t="shared" si="316"/>
        <v>○</v>
      </c>
      <c r="AB326" s="227">
        <f t="shared" si="318"/>
        <v>0.41666666666666669</v>
      </c>
      <c r="AC326" s="227">
        <f t="shared" si="317"/>
        <v>0.70833333333333337</v>
      </c>
      <c r="AD326" s="228" t="str">
        <f>IF(K326=1,IF(ISERROR(VLOOKUP(M326,データ!$A$3:$C$23,2,FALSE)),"",VLOOKUP(M326,データ!$A$3:$C$23,2,FALSE)),(IF(ISERROR(VLOOKUP(M326,データ!$A$3:$C$23,2,FALSE)),"",VLOOKUP(M326,データ!$A$3:$C$23,2,FALSE))))</f>
        <v/>
      </c>
    </row>
    <row r="327" spans="1:30">
      <c r="A327" s="1">
        <f>IF(AND(M327&gt;=VLOOKUP(M327,データ!$K$3:$O$6,1,TRUE),M327&lt;=VLOOKUP(M327,データ!$K$3:$O$6,2,TRUE)),VLOOKUP(M327,データ!$K$3:$O$6,5,TRUE),"")</f>
        <v>1</v>
      </c>
      <c r="B327" s="74">
        <f>IF(AND(M327&gt;=VLOOKUP(M327,データ!$K$3:$O$6,1,TRUE),M327&lt;=VLOOKUP(M327,データ!$K$3:$O$6,2,TRUE)),VLOOKUP(M327,データ!$K$3:$O$6,3,TRUE),"")</f>
        <v>0.41666666666666669</v>
      </c>
      <c r="C327" s="1">
        <f>IF(AND(M327&gt;=VLOOKUP(M327,データ!$K$11:$O$16,1,TRUE),M327&lt;=VLOOKUP(M327,データ!$K$11:$O$16,2,TRUE)),VLOOKUP(M327,データ!$K$11:$O$16,5,TRUE),0)</f>
        <v>0</v>
      </c>
      <c r="D327" s="74" t="str">
        <f>IF(AND(M327&gt;=VLOOKUP(M327,データ!$K$11:$O$16,1,TRUE),M327&lt;=VLOOKUP(M327,データ!$K$11:$O$16,2,TRUE)),VLOOKUP(M327,データ!$K$11:$O$16,3,TRUE),"")</f>
        <v/>
      </c>
      <c r="E327" s="74">
        <f t="shared" si="307"/>
        <v>0.41666666666666669</v>
      </c>
      <c r="F327" s="75">
        <f>VLOOKUP(E327,データ!$K$20:$O$24,5,FALSE)</f>
        <v>0</v>
      </c>
      <c r="G327" s="74">
        <f>IF(AND(M327&gt;=VLOOKUP(M327,データ!$K$3:$O$6,1,TRUE),M327&lt;=VLOOKUP(M327,データ!$K$3:$O$6,2,TRUE)),VLOOKUP(M327,データ!$K$3:$O$6,4,TRUE),"")</f>
        <v>0.70833333333333337</v>
      </c>
      <c r="H327" s="256">
        <f>INDEX(データ!L$21:N$24,MATCH(配置表!E327,データ!K$21:K$24,0),MATCH(配置表!G327,データ!L$20:N$20,0))</f>
        <v>1</v>
      </c>
      <c r="I327" s="52" t="str">
        <f>IF(ISERROR(VLOOKUP(M327,データ!$A$3:$C$20,3,FALSE)),"",VLOOKUP(M327,データ!$A$3:$C$20,3,FALSE))</f>
        <v/>
      </c>
      <c r="J327" s="52" t="str">
        <f t="shared" si="308"/>
        <v/>
      </c>
      <c r="K327" s="53">
        <f t="shared" si="321"/>
        <v>0</v>
      </c>
      <c r="L327" s="28" t="str">
        <f t="shared" si="309"/>
        <v/>
      </c>
      <c r="M327" s="9">
        <f t="shared" si="319"/>
        <v>46046</v>
      </c>
      <c r="N327" s="10" t="str">
        <f t="shared" si="310"/>
        <v>土</v>
      </c>
      <c r="O327" s="63" t="str">
        <f>IF(AND(M327&gt;=VLOOKUP(M327,データ!$E$3:$G$9,1,TRUE),M327&lt;=VLOOKUP(M327,データ!$E$3:$G$9,2,TRUE)),VLOOKUP(M327,データ!$E$3:$G$9,3,TRUE),"")</f>
        <v>冬　特別展</v>
      </c>
      <c r="P327" s="63" t="str">
        <f>IF(AND(M327&gt;=VLOOKUP(M327,データ!$E$14:$G$21,1,TRUE),M327&lt;=VLOOKUP(M327,データ!$E$14:$G$21,2,TRUE)),VLOOKUP(M327,データ!$E$14:$G$21,3,TRUE),"")</f>
        <v>テーマ展</v>
      </c>
      <c r="Q327" s="45" t="str">
        <f t="shared" si="311"/>
        <v>○</v>
      </c>
      <c r="R327" s="45"/>
      <c r="S327" s="33" t="str">
        <f t="shared" ref="S327:S328" si="327">IF(H327="閉","休",IF(K327="","",IF(OR(J327="土",J327="日",E327=1),IF(OR(K327="ダミー　特別展",K327="ダミー　特別展"),"◎",IF(OR(K327="夏　特別展",K327="秋　特別展",K327="春　特別展"),"○","")),"")))</f>
        <v/>
      </c>
      <c r="T327" s="45"/>
      <c r="U327" s="33" t="str">
        <f t="shared" ref="U327:U328" si="328">IF(L327="閉","休",IF(S327="","●","●"))</f>
        <v>●</v>
      </c>
      <c r="V327" s="32"/>
      <c r="W327" s="33" t="str">
        <f>IF(P327="閉","休",IF(O327="","",IF(O327="冬　特別展",IF(OR(N327="土",N327="日",I327=1),"◎",""),"○")))</f>
        <v>◎</v>
      </c>
      <c r="X327" s="32"/>
      <c r="Y327" s="33" t="str">
        <f t="shared" si="315"/>
        <v>○</v>
      </c>
      <c r="Z327" s="32">
        <f>IF(L327="閉","",(IF(AND(M327&gt;=VLOOKUP(M327,データ!$E$3:$G$9,1,TRUE),M327&lt;=VLOOKUP(M327,データ!$E$3:$G$9,2,TRUE)),VLOOKUP(M327,データ!$E$3:$H$9,4,TRUE),0)+IF(AND(M327&gt;=VLOOKUP(M327,データ!$E$14:$G$21,1,TRUE),M327&lt;=VLOOKUP(M327,データ!$E$14:$G$21,2,TRUE)),VLOOKUP(M327,データ!$E$14:$H$21,4,TRUE),0)))</f>
        <v>5</v>
      </c>
      <c r="AA327" s="33" t="str">
        <f t="shared" si="316"/>
        <v>○</v>
      </c>
      <c r="AB327" s="227">
        <f t="shared" si="318"/>
        <v>0.41666666666666669</v>
      </c>
      <c r="AC327" s="227">
        <f t="shared" si="317"/>
        <v>0.70833333333333337</v>
      </c>
      <c r="AD327" s="228" t="str">
        <f>IF(K327=1,IF(ISERROR(VLOOKUP(M327,データ!$A$3:$C$23,2,FALSE)),"",VLOOKUP(M327,データ!$A$3:$C$23,2,FALSE)),(IF(ISERROR(VLOOKUP(M327,データ!$A$3:$C$23,2,FALSE)),"",VLOOKUP(M327,データ!$A$3:$C$23,2,FALSE))))</f>
        <v/>
      </c>
    </row>
    <row r="328" spans="1:30">
      <c r="A328" s="1">
        <f>IF(AND(M328&gt;=VLOOKUP(M328,データ!$K$3:$O$6,1,TRUE),M328&lt;=VLOOKUP(M328,データ!$K$3:$O$6,2,TRUE)),VLOOKUP(M328,データ!$K$3:$O$6,5,TRUE),"")</f>
        <v>1</v>
      </c>
      <c r="B328" s="74">
        <f>IF(AND(M328&gt;=VLOOKUP(M328,データ!$K$3:$O$6,1,TRUE),M328&lt;=VLOOKUP(M328,データ!$K$3:$O$6,2,TRUE)),VLOOKUP(M328,データ!$K$3:$O$6,3,TRUE),"")</f>
        <v>0.41666666666666669</v>
      </c>
      <c r="C328" s="1">
        <f>IF(AND(M328&gt;=VLOOKUP(M328,データ!$K$11:$O$16,1,TRUE),M328&lt;=VLOOKUP(M328,データ!$K$11:$O$16,2,TRUE)),VLOOKUP(M328,データ!$K$11:$O$16,5,TRUE),0)</f>
        <v>0</v>
      </c>
      <c r="D328" s="74" t="str">
        <f>IF(AND(M328&gt;=VLOOKUP(M328,データ!$K$11:$O$16,1,TRUE),M328&lt;=VLOOKUP(M328,データ!$K$11:$O$16,2,TRUE)),VLOOKUP(M328,データ!$K$11:$O$16,3,TRUE),"")</f>
        <v/>
      </c>
      <c r="E328" s="74">
        <f t="shared" si="307"/>
        <v>0.41666666666666669</v>
      </c>
      <c r="F328" s="75">
        <f>VLOOKUP(E328,データ!$K$20:$O$24,5,FALSE)</f>
        <v>0</v>
      </c>
      <c r="G328" s="74">
        <f>IF(AND(M328&gt;=VLOOKUP(M328,データ!$K$3:$O$6,1,TRUE),M328&lt;=VLOOKUP(M328,データ!$K$3:$O$6,2,TRUE)),VLOOKUP(M328,データ!$K$3:$O$6,4,TRUE),"")</f>
        <v>0.70833333333333337</v>
      </c>
      <c r="H328" s="256">
        <f>INDEX(データ!L$21:N$24,MATCH(配置表!E328,データ!K$21:K$24,0),MATCH(配置表!G328,データ!L$20:N$20,0))</f>
        <v>1</v>
      </c>
      <c r="I328" s="52" t="str">
        <f>IF(ISERROR(VLOOKUP(M328,データ!$A$3:$C$20,3,FALSE)),"",VLOOKUP(M328,データ!$A$3:$C$20,3,FALSE))</f>
        <v/>
      </c>
      <c r="J328" s="52" t="str">
        <f t="shared" si="308"/>
        <v/>
      </c>
      <c r="K328" s="53">
        <f t="shared" si="321"/>
        <v>0</v>
      </c>
      <c r="L328" s="28" t="str">
        <f t="shared" si="309"/>
        <v/>
      </c>
      <c r="M328" s="9">
        <f t="shared" si="319"/>
        <v>46047</v>
      </c>
      <c r="N328" s="10" t="str">
        <f t="shared" si="310"/>
        <v>日</v>
      </c>
      <c r="O328" s="63" t="str">
        <f>IF(AND(M328&gt;=VLOOKUP(M328,データ!$E$3:$G$9,1,TRUE),M328&lt;=VLOOKUP(M328,データ!$E$3:$G$9,2,TRUE)),VLOOKUP(M328,データ!$E$3:$G$9,3,TRUE),"")</f>
        <v>冬　特別展</v>
      </c>
      <c r="P328" s="63" t="str">
        <f>IF(AND(M328&gt;=VLOOKUP(M328,データ!$E$14:$G$21,1,TRUE),M328&lt;=VLOOKUP(M328,データ!$E$14:$G$21,2,TRUE)),VLOOKUP(M328,データ!$E$14:$G$21,3,TRUE),"")</f>
        <v>テーマ展</v>
      </c>
      <c r="Q328" s="45" t="str">
        <f t="shared" si="311"/>
        <v>○</v>
      </c>
      <c r="R328" s="45"/>
      <c r="S328" s="33" t="str">
        <f t="shared" si="327"/>
        <v/>
      </c>
      <c r="T328" s="45"/>
      <c r="U328" s="33" t="str">
        <f t="shared" si="328"/>
        <v>●</v>
      </c>
      <c r="V328" s="32"/>
      <c r="W328" s="33" t="str">
        <f>IF(P328="閉","休",IF(O328="","",IF(O328="冬　特別展",IF(OR(N328="土",N328="日",I328=1),"◎",""),"○")))</f>
        <v>◎</v>
      </c>
      <c r="X328" s="32"/>
      <c r="Y328" s="33" t="str">
        <f t="shared" si="315"/>
        <v>○</v>
      </c>
      <c r="Z328" s="32">
        <f>IF(L328="閉","",(IF(AND(M328&gt;=VLOOKUP(M328,データ!$E$3:$G$9,1,TRUE),M328&lt;=VLOOKUP(M328,データ!$E$3:$G$9,2,TRUE)),VLOOKUP(M328,データ!$E$3:$H$9,4,TRUE),0)+IF(AND(M328&gt;=VLOOKUP(M328,データ!$E$14:$G$21,1,TRUE),M328&lt;=VLOOKUP(M328,データ!$E$14:$G$21,2,TRUE)),VLOOKUP(M328,データ!$E$14:$H$21,4,TRUE),0)))</f>
        <v>5</v>
      </c>
      <c r="AA328" s="33" t="str">
        <f t="shared" si="316"/>
        <v>○</v>
      </c>
      <c r="AB328" s="227">
        <f t="shared" si="318"/>
        <v>0.41666666666666669</v>
      </c>
      <c r="AC328" s="227">
        <f t="shared" si="317"/>
        <v>0.70833333333333337</v>
      </c>
      <c r="AD328" s="228" t="str">
        <f>IF(K328=1,IF(ISERROR(VLOOKUP(M328,データ!$A$3:$C$23,2,FALSE)),"",VLOOKUP(M328,データ!$A$3:$C$23,2,FALSE)),(IF(ISERROR(VLOOKUP(M328,データ!$A$3:$C$23,2,FALSE)),"",VLOOKUP(M328,データ!$A$3:$C$23,2,FALSE))))</f>
        <v/>
      </c>
    </row>
    <row r="329" spans="1:30">
      <c r="A329" s="1">
        <f>IF(AND(M329&gt;=VLOOKUP(M329,データ!$K$3:$O$6,1,TRUE),M329&lt;=VLOOKUP(M329,データ!$K$3:$O$6,2,TRUE)),VLOOKUP(M329,データ!$K$3:$O$6,5,TRUE),"")</f>
        <v>1</v>
      </c>
      <c r="B329" s="74">
        <f>IF(AND(M329&gt;=VLOOKUP(M329,データ!$K$3:$O$6,1,TRUE),M329&lt;=VLOOKUP(M329,データ!$K$3:$O$6,2,TRUE)),VLOOKUP(M329,データ!$K$3:$O$6,3,TRUE),"")</f>
        <v>0.41666666666666669</v>
      </c>
      <c r="C329" s="1">
        <f>IF(AND(M329&gt;=VLOOKUP(M329,データ!$K$11:$O$16,1,TRUE),M329&lt;=VLOOKUP(M329,データ!$K$11:$O$16,2,TRUE)),VLOOKUP(M329,データ!$K$11:$O$16,5,TRUE),0)</f>
        <v>0</v>
      </c>
      <c r="D329" s="74" t="str">
        <f>IF(AND(M329&gt;=VLOOKUP(M329,データ!$K$11:$O$16,1,TRUE),M329&lt;=VLOOKUP(M329,データ!$K$11:$O$16,2,TRUE)),VLOOKUP(M329,データ!$K$11:$O$16,3,TRUE),"")</f>
        <v/>
      </c>
      <c r="E329" s="74">
        <f t="shared" si="307"/>
        <v>0.41666666666666669</v>
      </c>
      <c r="F329" s="75">
        <f>VLOOKUP(E329,データ!$K$20:$O$24,5,FALSE)</f>
        <v>0</v>
      </c>
      <c r="G329" s="74">
        <f>IF(AND(M329&gt;=VLOOKUP(M329,データ!$K$3:$O$6,1,TRUE),M329&lt;=VLOOKUP(M329,データ!$K$3:$O$6,2,TRUE)),VLOOKUP(M329,データ!$K$3:$O$6,4,TRUE),"")</f>
        <v>0.70833333333333337</v>
      </c>
      <c r="H329" s="256">
        <f>INDEX(データ!L$21:N$24,MATCH(配置表!E329,データ!K$21:K$24,0),MATCH(配置表!G329,データ!L$20:N$20,0))</f>
        <v>1</v>
      </c>
      <c r="I329" s="52" t="str">
        <f>IF(ISERROR(VLOOKUP(M329,データ!$A$3:$C$20,3,FALSE)),"",VLOOKUP(M329,データ!$A$3:$C$20,3,FALSE))</f>
        <v/>
      </c>
      <c r="J329" s="52">
        <f t="shared" si="308"/>
        <v>1</v>
      </c>
      <c r="K329" s="53">
        <f t="shared" si="321"/>
        <v>1</v>
      </c>
      <c r="L329" s="28" t="str">
        <f t="shared" si="309"/>
        <v>閉</v>
      </c>
      <c r="M329" s="9">
        <f t="shared" si="319"/>
        <v>46048</v>
      </c>
      <c r="N329" s="10" t="str">
        <f t="shared" si="310"/>
        <v>月</v>
      </c>
      <c r="O329" s="63" t="str">
        <f>IF(AND(M329&gt;=VLOOKUP(M329,データ!$E$3:$G$9,1,TRUE),M329&lt;=VLOOKUP(M329,データ!$E$3:$G$9,2,TRUE)),VLOOKUP(M329,データ!$E$3:$G$9,3,TRUE),"")</f>
        <v>冬　特別展</v>
      </c>
      <c r="P329" s="63" t="str">
        <f>IF(AND(M329&gt;=VLOOKUP(M329,データ!$E$14:$G$21,1,TRUE),M329&lt;=VLOOKUP(M329,データ!$E$14:$G$21,2,TRUE)),VLOOKUP(M329,データ!$E$14:$G$21,3,TRUE),"")</f>
        <v>テーマ展</v>
      </c>
      <c r="Q329" s="44" t="str">
        <f t="shared" si="311"/>
        <v>休</v>
      </c>
      <c r="R329" s="32"/>
      <c r="S329" s="33" t="str">
        <f t="shared" si="312"/>
        <v>休</v>
      </c>
      <c r="T329" s="32"/>
      <c r="U329" s="33" t="str">
        <f t="shared" si="313"/>
        <v>休</v>
      </c>
      <c r="V329" s="32"/>
      <c r="W329" s="33" t="str">
        <f t="shared" si="314"/>
        <v>休</v>
      </c>
      <c r="X329" s="32"/>
      <c r="Y329" s="33" t="str">
        <f t="shared" si="315"/>
        <v>休</v>
      </c>
      <c r="Z329" s="32" t="str">
        <f>IF(L329="閉","",(IF(AND(M329&gt;=VLOOKUP(M329,データ!$E$3:$G$9,1,TRUE),M329&lt;=VLOOKUP(M329,データ!$E$3:$G$9,2,TRUE)),VLOOKUP(M329,データ!$E$3:$H$9,4,TRUE),0)+IF(AND(M329&gt;=VLOOKUP(M329,データ!$E$14:$G$21,1,TRUE),M329&lt;=VLOOKUP(M329,データ!$E$14:$G$21,2,TRUE)),VLOOKUP(M329,データ!$E$14:$H$21,4,TRUE),0)))</f>
        <v/>
      </c>
      <c r="AA329" s="33" t="str">
        <f t="shared" si="316"/>
        <v>休</v>
      </c>
      <c r="AB329" s="227" t="str">
        <f t="shared" si="318"/>
        <v/>
      </c>
      <c r="AC329" s="227" t="str">
        <f t="shared" si="317"/>
        <v/>
      </c>
      <c r="AD329" s="228" t="str">
        <f>IF(K329=1,IF(ISERROR(VLOOKUP(M329,データ!$A$3:$C$23,2,FALSE)),"",VLOOKUP(M329,データ!$A$3:$C$23,2,FALSE)),(IF(ISERROR(VLOOKUP(M329,データ!$A$3:$C$23,2,FALSE)),"",VLOOKUP(M329,データ!$A$3:$C$23,2,FALSE))))</f>
        <v/>
      </c>
    </row>
    <row r="330" spans="1:30">
      <c r="A330" s="1">
        <f>IF(AND(M330&gt;=VLOOKUP(M330,データ!$K$3:$O$6,1,TRUE),M330&lt;=VLOOKUP(M330,データ!$K$3:$O$6,2,TRUE)),VLOOKUP(M330,データ!$K$3:$O$6,5,TRUE),"")</f>
        <v>1</v>
      </c>
      <c r="B330" s="74">
        <f>IF(AND(M330&gt;=VLOOKUP(M330,データ!$K$3:$O$6,1,TRUE),M330&lt;=VLOOKUP(M330,データ!$K$3:$O$6,2,TRUE)),VLOOKUP(M330,データ!$K$3:$O$6,3,TRUE),"")</f>
        <v>0.41666666666666669</v>
      </c>
      <c r="C330" s="1">
        <f>IF(AND(M330&gt;=VLOOKUP(M330,データ!$K$11:$O$16,1,TRUE),M330&lt;=VLOOKUP(M330,データ!$K$11:$O$16,2,TRUE)),VLOOKUP(M330,データ!$K$11:$O$16,5,TRUE),0)</f>
        <v>0</v>
      </c>
      <c r="D330" s="74" t="str">
        <f>IF(AND(M330&gt;=VLOOKUP(M330,データ!$K$11:$O$16,1,TRUE),M330&lt;=VLOOKUP(M330,データ!$K$11:$O$16,2,TRUE)),VLOOKUP(M330,データ!$K$11:$O$16,3,TRUE),"")</f>
        <v/>
      </c>
      <c r="E330" s="74">
        <f t="shared" si="307"/>
        <v>0.41666666666666669</v>
      </c>
      <c r="F330" s="75">
        <f>VLOOKUP(E330,データ!$K$20:$O$24,5,FALSE)</f>
        <v>0</v>
      </c>
      <c r="G330" s="74">
        <f>IF(AND(M330&gt;=VLOOKUP(M330,データ!$K$3:$O$6,1,TRUE),M330&lt;=VLOOKUP(M330,データ!$K$3:$O$6,2,TRUE)),VLOOKUP(M330,データ!$K$3:$O$6,4,TRUE),"")</f>
        <v>0.70833333333333337</v>
      </c>
      <c r="H330" s="256">
        <f>INDEX(データ!L$21:N$24,MATCH(配置表!E330,データ!K$21:K$24,0),MATCH(配置表!G330,データ!L$20:N$20,0))</f>
        <v>1</v>
      </c>
      <c r="I330" s="52" t="str">
        <f>IF(ISERROR(VLOOKUP(M330,データ!$A$3:$C$20,3,FALSE)),"",VLOOKUP(M330,データ!$A$3:$C$20,3,FALSE))</f>
        <v/>
      </c>
      <c r="J330" s="52" t="str">
        <f t="shared" si="308"/>
        <v/>
      </c>
      <c r="K330" s="53">
        <f t="shared" si="321"/>
        <v>0</v>
      </c>
      <c r="L330" s="28" t="str">
        <f t="shared" si="309"/>
        <v/>
      </c>
      <c r="M330" s="9">
        <f t="shared" si="319"/>
        <v>46049</v>
      </c>
      <c r="N330" s="10" t="str">
        <f t="shared" si="310"/>
        <v>火</v>
      </c>
      <c r="O330" s="63" t="str">
        <f>IF(AND(M330&gt;=VLOOKUP(M330,データ!$E$3:$G$9,1,TRUE),M330&lt;=VLOOKUP(M330,データ!$E$3:$G$9,2,TRUE)),VLOOKUP(M330,データ!$E$3:$G$9,3,TRUE),"")</f>
        <v>冬　特別展</v>
      </c>
      <c r="P330" s="63" t="str">
        <f>IF(AND(M330&gt;=VLOOKUP(M330,データ!$E$14:$G$21,1,TRUE),M330&lt;=VLOOKUP(M330,データ!$E$14:$G$21,2,TRUE)),VLOOKUP(M330,データ!$E$14:$G$21,3,TRUE),"")</f>
        <v>テーマ展</v>
      </c>
      <c r="Q330" s="45" t="str">
        <f t="shared" si="311"/>
        <v>○</v>
      </c>
      <c r="R330" s="45"/>
      <c r="S330" s="33" t="str">
        <f t="shared" si="312"/>
        <v/>
      </c>
      <c r="T330" s="10"/>
      <c r="U330" s="10" t="str">
        <f t="shared" si="313"/>
        <v>●</v>
      </c>
      <c r="V330" s="32"/>
      <c r="W330" s="33" t="str">
        <f t="shared" si="314"/>
        <v/>
      </c>
      <c r="X330" s="32"/>
      <c r="Y330" s="33" t="str">
        <f t="shared" si="315"/>
        <v>○</v>
      </c>
      <c r="Z330" s="32">
        <f>IF(L330="閉","",(IF(AND(M330&gt;=VLOOKUP(M330,データ!$E$3:$G$9,1,TRUE),M330&lt;=VLOOKUP(M330,データ!$E$3:$G$9,2,TRUE)),VLOOKUP(M330,データ!$E$3:$H$9,4,TRUE),0)+IF(AND(M330&gt;=VLOOKUP(M330,データ!$E$14:$G$21,1,TRUE),M330&lt;=VLOOKUP(M330,データ!$E$14:$G$21,2,TRUE)),VLOOKUP(M330,データ!$E$14:$H$21,4,TRUE),0)))</f>
        <v>5</v>
      </c>
      <c r="AA330" s="33" t="str">
        <f t="shared" si="316"/>
        <v>○</v>
      </c>
      <c r="AB330" s="227">
        <f t="shared" si="318"/>
        <v>0.41666666666666669</v>
      </c>
      <c r="AC330" s="227">
        <f t="shared" si="317"/>
        <v>0.70833333333333337</v>
      </c>
      <c r="AD330" s="228" t="str">
        <f>IF(K330=1,IF(ISERROR(VLOOKUP(M330,データ!$A$3:$C$23,2,FALSE)),"",VLOOKUP(M330,データ!$A$3:$C$23,2,FALSE)),(IF(ISERROR(VLOOKUP(M330,データ!$A$3:$C$23,2,FALSE)),"",VLOOKUP(M330,データ!$A$3:$C$23,2,FALSE))))</f>
        <v/>
      </c>
    </row>
    <row r="331" spans="1:30">
      <c r="A331" s="1">
        <f>IF(AND(M331&gt;=VLOOKUP(M331,データ!$K$3:$O$6,1,TRUE),M331&lt;=VLOOKUP(M331,データ!$K$3:$O$6,2,TRUE)),VLOOKUP(M331,データ!$K$3:$O$6,5,TRUE),"")</f>
        <v>1</v>
      </c>
      <c r="B331" s="74">
        <f>IF(AND(M331&gt;=VLOOKUP(M331,データ!$K$3:$O$6,1,TRUE),M331&lt;=VLOOKUP(M331,データ!$K$3:$O$6,2,TRUE)),VLOOKUP(M331,データ!$K$3:$O$6,3,TRUE),"")</f>
        <v>0.41666666666666669</v>
      </c>
      <c r="C331" s="1">
        <f>IF(AND(M331&gt;=VLOOKUP(M331,データ!$K$11:$O$16,1,TRUE),M331&lt;=VLOOKUP(M331,データ!$K$11:$O$16,2,TRUE)),VLOOKUP(M331,データ!$K$11:$O$16,5,TRUE),0)</f>
        <v>0</v>
      </c>
      <c r="D331" s="74" t="str">
        <f>IF(AND(M331&gt;=VLOOKUP(M331,データ!$K$11:$O$16,1,TRUE),M331&lt;=VLOOKUP(M331,データ!$K$11:$O$16,2,TRUE)),VLOOKUP(M331,データ!$K$11:$O$16,3,TRUE),"")</f>
        <v/>
      </c>
      <c r="E331" s="74">
        <f t="shared" si="307"/>
        <v>0.41666666666666669</v>
      </c>
      <c r="F331" s="75">
        <f>VLOOKUP(E331,データ!$K$20:$O$24,5,FALSE)</f>
        <v>0</v>
      </c>
      <c r="G331" s="74">
        <f>IF(AND(M331&gt;=VLOOKUP(M331,データ!$K$3:$O$6,1,TRUE),M331&lt;=VLOOKUP(M331,データ!$K$3:$O$6,2,TRUE)),VLOOKUP(M331,データ!$K$3:$O$6,4,TRUE),"")</f>
        <v>0.70833333333333337</v>
      </c>
      <c r="H331" s="256">
        <f>INDEX(データ!L$21:N$24,MATCH(配置表!E331,データ!K$21:K$24,0),MATCH(配置表!G331,データ!L$20:N$20,0))</f>
        <v>1</v>
      </c>
      <c r="I331" s="52" t="str">
        <f>IF(ISERROR(VLOOKUP(M331,データ!$A$3:$C$20,3,FALSE)),"",VLOOKUP(M331,データ!$A$3:$C$20,3,FALSE))</f>
        <v/>
      </c>
      <c r="J331" s="52" t="str">
        <f t="shared" si="308"/>
        <v/>
      </c>
      <c r="K331" s="53">
        <f t="shared" si="321"/>
        <v>0</v>
      </c>
      <c r="L331" s="28" t="str">
        <f t="shared" si="309"/>
        <v/>
      </c>
      <c r="M331" s="9">
        <f t="shared" si="319"/>
        <v>46050</v>
      </c>
      <c r="N331" s="10" t="str">
        <f t="shared" si="310"/>
        <v>水</v>
      </c>
      <c r="O331" s="63" t="str">
        <f>IF(AND(M331&gt;=VLOOKUP(M331,データ!$E$3:$G$9,1,TRUE),M331&lt;=VLOOKUP(M331,データ!$E$3:$G$9,2,TRUE)),VLOOKUP(M331,データ!$E$3:$G$9,3,TRUE),"")</f>
        <v>冬　特別展</v>
      </c>
      <c r="P331" s="63" t="str">
        <f>IF(AND(M331&gt;=VLOOKUP(M331,データ!$E$14:$G$21,1,TRUE),M331&lt;=VLOOKUP(M331,データ!$E$14:$G$21,2,TRUE)),VLOOKUP(M331,データ!$E$14:$G$21,3,TRUE),"")</f>
        <v>テーマ展</v>
      </c>
      <c r="Q331" s="45" t="str">
        <f t="shared" si="311"/>
        <v>○</v>
      </c>
      <c r="R331" s="45"/>
      <c r="S331" s="33" t="str">
        <f t="shared" si="312"/>
        <v/>
      </c>
      <c r="T331" s="10"/>
      <c r="U331" s="10" t="str">
        <f t="shared" si="313"/>
        <v>●</v>
      </c>
      <c r="V331" s="32"/>
      <c r="W331" s="33" t="str">
        <f t="shared" si="314"/>
        <v/>
      </c>
      <c r="X331" s="32"/>
      <c r="Y331" s="33" t="str">
        <f t="shared" si="315"/>
        <v>○</v>
      </c>
      <c r="Z331" s="32">
        <f>IF(L331="閉","",(IF(AND(M331&gt;=VLOOKUP(M331,データ!$E$3:$G$9,1,TRUE),M331&lt;=VLOOKUP(M331,データ!$E$3:$G$9,2,TRUE)),VLOOKUP(M331,データ!$E$3:$H$9,4,TRUE),0)+IF(AND(M331&gt;=VLOOKUP(M331,データ!$E$14:$G$21,1,TRUE),M331&lt;=VLOOKUP(M331,データ!$E$14:$G$21,2,TRUE)),VLOOKUP(M331,データ!$E$14:$H$21,4,TRUE),0)))</f>
        <v>5</v>
      </c>
      <c r="AA331" s="33" t="str">
        <f t="shared" si="316"/>
        <v>○</v>
      </c>
      <c r="AB331" s="227">
        <f t="shared" si="318"/>
        <v>0.41666666666666669</v>
      </c>
      <c r="AC331" s="227">
        <f t="shared" si="317"/>
        <v>0.70833333333333337</v>
      </c>
      <c r="AD331" s="228" t="str">
        <f>IF(K331=1,IF(ISERROR(VLOOKUP(M331,データ!$A$3:$C$23,2,FALSE)),"",VLOOKUP(M331,データ!$A$3:$C$23,2,FALSE)),(IF(ISERROR(VLOOKUP(M331,データ!$A$3:$C$23,2,FALSE)),"",VLOOKUP(M331,データ!$A$3:$C$23,2,FALSE))))</f>
        <v/>
      </c>
    </row>
    <row r="332" spans="1:30">
      <c r="A332" s="1">
        <f>IF(AND(M332&gt;=VLOOKUP(M332,データ!$K$3:$O$6,1,TRUE),M332&lt;=VLOOKUP(M332,データ!$K$3:$O$6,2,TRUE)),VLOOKUP(M332,データ!$K$3:$O$6,5,TRUE),"")</f>
        <v>1</v>
      </c>
      <c r="B332" s="74">
        <f>IF(AND(M332&gt;=VLOOKUP(M332,データ!$K$3:$O$6,1,TRUE),M332&lt;=VLOOKUP(M332,データ!$K$3:$O$6,2,TRUE)),VLOOKUP(M332,データ!$K$3:$O$6,3,TRUE),"")</f>
        <v>0.41666666666666669</v>
      </c>
      <c r="C332" s="1">
        <f>IF(AND(M332&gt;=VLOOKUP(M332,データ!$K$11:$O$16,1,TRUE),M332&lt;=VLOOKUP(M332,データ!$K$11:$O$16,2,TRUE)),VLOOKUP(M332,データ!$K$11:$O$16,5,TRUE),0)</f>
        <v>0</v>
      </c>
      <c r="D332" s="74" t="str">
        <f>IF(AND(M332&gt;=VLOOKUP(M332,データ!$K$11:$O$16,1,TRUE),M332&lt;=VLOOKUP(M332,データ!$K$11:$O$16,2,TRUE)),VLOOKUP(M332,データ!$K$11:$O$16,3,TRUE),"")</f>
        <v/>
      </c>
      <c r="E332" s="74">
        <f t="shared" si="307"/>
        <v>0.41666666666666669</v>
      </c>
      <c r="F332" s="75">
        <f>VLOOKUP(E332,データ!$K$20:$O$24,5,FALSE)</f>
        <v>0</v>
      </c>
      <c r="G332" s="74">
        <f>IF(AND(M332&gt;=VLOOKUP(M332,データ!$K$3:$O$6,1,TRUE),M332&lt;=VLOOKUP(M332,データ!$K$3:$O$6,2,TRUE)),VLOOKUP(M332,データ!$K$3:$O$6,4,TRUE),"")</f>
        <v>0.70833333333333337</v>
      </c>
      <c r="H332" s="256">
        <f>INDEX(データ!L$21:N$24,MATCH(配置表!E332,データ!K$21:K$24,0),MATCH(配置表!G332,データ!L$20:N$20,0))</f>
        <v>1</v>
      </c>
      <c r="I332" s="52" t="str">
        <f>IF(ISERROR(VLOOKUP(M332,データ!$A$3:$C$20,3,FALSE)),"",VLOOKUP(M332,データ!$A$3:$C$20,3,FALSE))</f>
        <v/>
      </c>
      <c r="J332" s="52" t="str">
        <f t="shared" si="308"/>
        <v/>
      </c>
      <c r="K332" s="53">
        <f t="shared" si="321"/>
        <v>0</v>
      </c>
      <c r="L332" s="28" t="str">
        <f t="shared" si="309"/>
        <v/>
      </c>
      <c r="M332" s="9">
        <f t="shared" si="319"/>
        <v>46051</v>
      </c>
      <c r="N332" s="10" t="str">
        <f t="shared" si="310"/>
        <v>木</v>
      </c>
      <c r="O332" s="63" t="str">
        <f>IF(AND(M332&gt;=VLOOKUP(M332,データ!$E$3:$G$9,1,TRUE),M332&lt;=VLOOKUP(M332,データ!$E$3:$G$9,2,TRUE)),VLOOKUP(M332,データ!$E$3:$G$9,3,TRUE),"")</f>
        <v>冬　特別展</v>
      </c>
      <c r="P332" s="63" t="str">
        <f>IF(AND(M332&gt;=VLOOKUP(M332,データ!$E$14:$G$21,1,TRUE),M332&lt;=VLOOKUP(M332,データ!$E$14:$G$21,2,TRUE)),VLOOKUP(M332,データ!$E$14:$G$21,3,TRUE),"")</f>
        <v>テーマ展</v>
      </c>
      <c r="Q332" s="45" t="str">
        <f t="shared" si="311"/>
        <v>○</v>
      </c>
      <c r="R332" s="45"/>
      <c r="S332" s="33" t="str">
        <f t="shared" si="312"/>
        <v/>
      </c>
      <c r="T332" s="10"/>
      <c r="U332" s="10" t="str">
        <f t="shared" si="313"/>
        <v>●</v>
      </c>
      <c r="V332" s="32"/>
      <c r="W332" s="33" t="str">
        <f t="shared" si="314"/>
        <v/>
      </c>
      <c r="X332" s="32"/>
      <c r="Y332" s="33" t="str">
        <f t="shared" si="315"/>
        <v>○</v>
      </c>
      <c r="Z332" s="32">
        <f>IF(L332="閉","",(IF(AND(M332&gt;=VLOOKUP(M332,データ!$E$3:$G$9,1,TRUE),M332&lt;=VLOOKUP(M332,データ!$E$3:$G$9,2,TRUE)),VLOOKUP(M332,データ!$E$3:$H$9,4,TRUE),0)+IF(AND(M332&gt;=VLOOKUP(M332,データ!$E$14:$G$21,1,TRUE),M332&lt;=VLOOKUP(M332,データ!$E$14:$G$21,2,TRUE)),VLOOKUP(M332,データ!$E$14:$H$21,4,TRUE),0)))</f>
        <v>5</v>
      </c>
      <c r="AA332" s="33" t="str">
        <f t="shared" si="316"/>
        <v>○</v>
      </c>
      <c r="AB332" s="227">
        <f t="shared" si="318"/>
        <v>0.41666666666666669</v>
      </c>
      <c r="AC332" s="227">
        <f t="shared" si="317"/>
        <v>0.70833333333333337</v>
      </c>
      <c r="AD332" s="228" t="str">
        <f>IF(K332=1,IF(ISERROR(VLOOKUP(M332,データ!$A$3:$C$23,2,FALSE)),"",VLOOKUP(M332,データ!$A$3:$C$23,2,FALSE)),(IF(ISERROR(VLOOKUP(M332,データ!$A$3:$C$23,2,FALSE)),"",VLOOKUP(M332,データ!$A$3:$C$23,2,FALSE))))</f>
        <v/>
      </c>
    </row>
    <row r="333" spans="1:30">
      <c r="A333" s="1">
        <f>IF(AND(M333&gt;=VLOOKUP(M333,データ!$K$3:$O$6,1,TRUE),M333&lt;=VLOOKUP(M333,データ!$K$3:$O$6,2,TRUE)),VLOOKUP(M333,データ!$K$3:$O$6,5,TRUE),"")</f>
        <v>1</v>
      </c>
      <c r="B333" s="74">
        <f>IF(AND(M333&gt;=VLOOKUP(M333,データ!$K$3:$O$6,1,TRUE),M333&lt;=VLOOKUP(M333,データ!$K$3:$O$6,2,TRUE)),VLOOKUP(M333,データ!$K$3:$O$6,3,TRUE),"")</f>
        <v>0.41666666666666669</v>
      </c>
      <c r="C333" s="1">
        <f>IF(AND(M333&gt;=VLOOKUP(M333,データ!$K$11:$O$16,1,TRUE),M333&lt;=VLOOKUP(M333,データ!$K$11:$O$16,2,TRUE)),VLOOKUP(M333,データ!$K$11:$O$16,5,TRUE),0)</f>
        <v>0</v>
      </c>
      <c r="D333" s="74" t="str">
        <f>IF(AND(M333&gt;=VLOOKUP(M333,データ!$K$11:$O$16,1,TRUE),M333&lt;=VLOOKUP(M333,データ!$K$11:$O$16,2,TRUE)),VLOOKUP(M333,データ!$K$11:$O$16,3,TRUE),"")</f>
        <v/>
      </c>
      <c r="E333" s="74">
        <f t="shared" si="307"/>
        <v>0.41666666666666669</v>
      </c>
      <c r="F333" s="75">
        <f>VLOOKUP(E333,データ!$K$20:$O$24,5,FALSE)</f>
        <v>0</v>
      </c>
      <c r="G333" s="74">
        <f>IF(AND(M333&gt;=VLOOKUP(M333,データ!$K$3:$O$6,1,TRUE),M333&lt;=VLOOKUP(M333,データ!$K$3:$O$6,2,TRUE)),VLOOKUP(M333,データ!$K$3:$O$6,4,TRUE),"")</f>
        <v>0.70833333333333337</v>
      </c>
      <c r="H333" s="256">
        <f>INDEX(データ!L$21:N$24,MATCH(配置表!E333,データ!K$21:K$24,0),MATCH(配置表!G333,データ!L$20:N$20,0))</f>
        <v>1</v>
      </c>
      <c r="I333" s="52" t="str">
        <f>IF(ISERROR(VLOOKUP(M333,データ!$A$3:$C$20,3,FALSE)),"",VLOOKUP(M333,データ!$A$3:$C$20,3,FALSE))</f>
        <v/>
      </c>
      <c r="J333" s="52" t="str">
        <f t="shared" si="308"/>
        <v/>
      </c>
      <c r="K333" s="53">
        <f t="shared" si="321"/>
        <v>0</v>
      </c>
      <c r="L333" s="28" t="str">
        <f t="shared" si="309"/>
        <v/>
      </c>
      <c r="M333" s="9">
        <f t="shared" si="319"/>
        <v>46052</v>
      </c>
      <c r="N333" s="10" t="str">
        <f t="shared" si="310"/>
        <v>金</v>
      </c>
      <c r="O333" s="63" t="str">
        <f>IF(AND(M333&gt;=VLOOKUP(M333,データ!$E$3:$G$9,1,TRUE),M333&lt;=VLOOKUP(M333,データ!$E$3:$G$9,2,TRUE)),VLOOKUP(M333,データ!$E$3:$G$9,3,TRUE),"")</f>
        <v>冬　特別展</v>
      </c>
      <c r="P333" s="63" t="str">
        <f>IF(AND(M333&gt;=VLOOKUP(M333,データ!$E$14:$G$21,1,TRUE),M333&lt;=VLOOKUP(M333,データ!$E$14:$G$21,2,TRUE)),VLOOKUP(M333,データ!$E$14:$G$21,3,TRUE),"")</f>
        <v>テーマ展</v>
      </c>
      <c r="Q333" s="45" t="str">
        <f t="shared" si="311"/>
        <v>○</v>
      </c>
      <c r="R333" s="45"/>
      <c r="S333" s="33" t="str">
        <f t="shared" si="312"/>
        <v/>
      </c>
      <c r="T333" s="10"/>
      <c r="U333" s="10" t="str">
        <f t="shared" si="313"/>
        <v>●</v>
      </c>
      <c r="V333" s="32"/>
      <c r="W333" s="33" t="str">
        <f t="shared" si="314"/>
        <v/>
      </c>
      <c r="X333" s="32"/>
      <c r="Y333" s="33" t="str">
        <f t="shared" si="315"/>
        <v>○</v>
      </c>
      <c r="Z333" s="32">
        <f>IF(L333="閉","",(IF(AND(M333&gt;=VLOOKUP(M333,データ!$E$3:$G$9,1,TRUE),M333&lt;=VLOOKUP(M333,データ!$E$3:$G$9,2,TRUE)),VLOOKUP(M333,データ!$E$3:$H$9,4,TRUE),0)+IF(AND(M333&gt;=VLOOKUP(M333,データ!$E$14:$G$21,1,TRUE),M333&lt;=VLOOKUP(M333,データ!$E$14:$G$21,2,TRUE)),VLOOKUP(M333,データ!$E$14:$H$21,4,TRUE),0)))</f>
        <v>5</v>
      </c>
      <c r="AA333" s="33" t="str">
        <f t="shared" si="316"/>
        <v>○</v>
      </c>
      <c r="AB333" s="227">
        <f t="shared" si="318"/>
        <v>0.41666666666666669</v>
      </c>
      <c r="AC333" s="227">
        <f t="shared" si="317"/>
        <v>0.70833333333333337</v>
      </c>
      <c r="AD333" s="228" t="str">
        <f>IF(K333=1,IF(ISERROR(VLOOKUP(M333,データ!$A$3:$C$23,2,FALSE)),"",VLOOKUP(M333,データ!$A$3:$C$23,2,FALSE)),(IF(ISERROR(VLOOKUP(M333,データ!$A$3:$C$23,2,FALSE)),"",VLOOKUP(M333,データ!$A$3:$C$23,2,FALSE))))</f>
        <v/>
      </c>
    </row>
    <row r="334" spans="1:30" ht="12" thickBot="1">
      <c r="A334" s="1">
        <f>IF(AND(M334&gt;=VLOOKUP(M334,データ!$K$3:$O$6,1,TRUE),M334&lt;=VLOOKUP(M334,データ!$K$3:$O$6,2,TRUE)),VLOOKUP(M334,データ!$K$3:$O$6,5,TRUE),"")</f>
        <v>1</v>
      </c>
      <c r="B334" s="74">
        <f>IF(AND(M334&gt;=VLOOKUP(M334,データ!$K$3:$O$6,1,TRUE),M334&lt;=VLOOKUP(M334,データ!$K$3:$O$6,2,TRUE)),VLOOKUP(M334,データ!$K$3:$O$6,3,TRUE),"")</f>
        <v>0.41666666666666669</v>
      </c>
      <c r="C334" s="1">
        <f>IF(AND(M334&gt;=VLOOKUP(M334,データ!$K$11:$O$16,1,TRUE),M334&lt;=VLOOKUP(M334,データ!$K$11:$O$16,2,TRUE)),VLOOKUP(M334,データ!$K$11:$O$16,5,TRUE),0)</f>
        <v>0</v>
      </c>
      <c r="D334" s="74" t="str">
        <f>IF(AND(M334&gt;=VLOOKUP(M334,データ!$K$11:$O$16,1,TRUE),M334&lt;=VLOOKUP(M334,データ!$K$11:$O$16,2,TRUE)),VLOOKUP(M334,データ!$K$11:$O$16,3,TRUE),"")</f>
        <v/>
      </c>
      <c r="E334" s="74">
        <f t="shared" si="307"/>
        <v>0.41666666666666669</v>
      </c>
      <c r="F334" s="75">
        <f>VLOOKUP(E334,データ!$K$20:$O$24,5,FALSE)</f>
        <v>0</v>
      </c>
      <c r="G334" s="74">
        <f>IF(AND(M334&gt;=VLOOKUP(M334,データ!$K$3:$O$6,1,TRUE),M334&lt;=VLOOKUP(M334,データ!$K$3:$O$6,2,TRUE)),VLOOKUP(M334,データ!$K$3:$O$6,4,TRUE),"")</f>
        <v>0.70833333333333337</v>
      </c>
      <c r="H334" s="256">
        <f>INDEX(データ!L$21:N$24,MATCH(配置表!E334,データ!K$21:K$24,0),MATCH(配置表!G334,データ!L$20:N$20,0))</f>
        <v>1</v>
      </c>
      <c r="I334" s="52" t="str">
        <f>IF(ISERROR(VLOOKUP(M334,データ!$A$3:$C$20,3,FALSE)),"",VLOOKUP(M334,データ!$A$3:$C$20,3,FALSE))</f>
        <v/>
      </c>
      <c r="J334" s="52" t="str">
        <f t="shared" si="308"/>
        <v/>
      </c>
      <c r="K334" s="53">
        <f t="shared" si="321"/>
        <v>0</v>
      </c>
      <c r="L334" s="28" t="str">
        <f t="shared" si="309"/>
        <v/>
      </c>
      <c r="M334" s="29">
        <f t="shared" si="319"/>
        <v>46053</v>
      </c>
      <c r="N334" s="22" t="str">
        <f t="shared" si="310"/>
        <v>土</v>
      </c>
      <c r="O334" s="65" t="str">
        <f>IF(AND(M334&gt;=VLOOKUP(M334,データ!$E$3:$G$9,1,TRUE),M334&lt;=VLOOKUP(M334,データ!$E$3:$G$9,2,TRUE)),VLOOKUP(M334,データ!$E$3:$G$9,3,TRUE),"")</f>
        <v>冬　特別展</v>
      </c>
      <c r="P334" s="65" t="str">
        <f>IF(AND(M334&gt;=VLOOKUP(M334,データ!$E$14:$G$21,1,TRUE),M334&lt;=VLOOKUP(M334,データ!$E$14:$G$21,2,TRUE)),VLOOKUP(M334,データ!$E$14:$G$21,3,TRUE),"")</f>
        <v>テーマ展</v>
      </c>
      <c r="Q334" s="40" t="str">
        <f t="shared" si="311"/>
        <v>○</v>
      </c>
      <c r="R334" s="41"/>
      <c r="S334" s="34" t="str">
        <f>IF(H334="閉","休",IF(K334="","",IF(OR(J334="土",J334="日",E334=1),IF(OR(K334="ダミー　特別展",K334="ダミー　特別展"),"◎",IF(OR(K334="夏　特別展",K334="秋　特別展",K334="春　特別展"),"○","")),"")))</f>
        <v/>
      </c>
      <c r="T334" s="41"/>
      <c r="U334" s="34" t="str">
        <f t="shared" si="313"/>
        <v>●</v>
      </c>
      <c r="V334" s="23"/>
      <c r="W334" s="34" t="str">
        <f>IF(P334="閉","休",IF(O334="","",IF(O334="冬　特別展",IF(OR(N334="土",N334="日",I334=1),"◎",""),"○")))</f>
        <v>◎</v>
      </c>
      <c r="X334" s="23"/>
      <c r="Y334" s="34" t="str">
        <f t="shared" si="315"/>
        <v>○</v>
      </c>
      <c r="Z334" s="23">
        <f>IF(L334="閉","",(IF(AND(M334&gt;=VLOOKUP(M334,データ!$E$3:$G$9,1,TRUE),M334&lt;=VLOOKUP(M334,データ!$E$3:$G$9,2,TRUE)),VLOOKUP(M334,データ!$E$3:$H$9,4,TRUE),0)+IF(AND(M334&gt;=VLOOKUP(M334,データ!$E$14:$G$21,1,TRUE),M334&lt;=VLOOKUP(M334,データ!$E$14:$G$21,2,TRUE)),VLOOKUP(M334,データ!$E$14:$H$21,4,TRUE),0)))</f>
        <v>5</v>
      </c>
      <c r="AA334" s="34" t="str">
        <f t="shared" si="316"/>
        <v>○</v>
      </c>
      <c r="AB334" s="233">
        <f t="shared" si="318"/>
        <v>0.41666666666666669</v>
      </c>
      <c r="AC334" s="233">
        <f t="shared" si="317"/>
        <v>0.70833333333333337</v>
      </c>
      <c r="AD334" s="231" t="str">
        <f>IF(K334=1,IF(ISERROR(VLOOKUP(M334,データ!$A$3:$C$23,2,FALSE)),"",VLOOKUP(M334,データ!$A$3:$C$23,2,FALSE)),(IF(ISERROR(VLOOKUP(M334,データ!$A$3:$C$23,2,FALSE)),"",VLOOKUP(M334,データ!$A$3:$C$23,2,FALSE))))</f>
        <v/>
      </c>
    </row>
    <row r="335" spans="1:30" ht="14.25" thickBot="1">
      <c r="H335" s="256"/>
      <c r="I335" s="52"/>
      <c r="J335" s="52"/>
      <c r="K335" s="53"/>
      <c r="L335" s="28" t="str">
        <f t="shared" ref="L335:L367" si="329">IF(K335=1,"閉","")</f>
        <v/>
      </c>
      <c r="M335" s="57"/>
      <c r="N335" s="50"/>
      <c r="O335" s="50"/>
      <c r="P335" s="50"/>
      <c r="Q335" s="10"/>
      <c r="R335" s="10"/>
      <c r="S335" s="10"/>
      <c r="T335" s="10"/>
      <c r="U335" s="10"/>
      <c r="V335" s="8"/>
      <c r="W335" s="10"/>
      <c r="X335" s="8"/>
      <c r="Y335" s="10"/>
      <c r="Z335" s="8"/>
      <c r="AA335" s="10"/>
      <c r="AB335" s="223" t="str">
        <f>IF(ISERROR(VLOOKUP(M335,データ!$A$3:$C$23,2,FALSE)),"",VLOOKUP(M335,データ!$A$3:$C$23,2,FALSE))</f>
        <v/>
      </c>
      <c r="AC335" s="2"/>
    </row>
    <row r="336" spans="1:30" customFormat="1" ht="27.75" customHeight="1" thickBot="1">
      <c r="H336" s="257"/>
      <c r="I336" s="52"/>
      <c r="J336" s="52"/>
      <c r="K336" s="53"/>
      <c r="L336" s="28" t="str">
        <f t="shared" si="329"/>
        <v/>
      </c>
      <c r="M336" s="58"/>
      <c r="N336" s="59"/>
      <c r="O336" s="42" t="s">
        <v>5</v>
      </c>
      <c r="P336" s="60" t="s">
        <v>6</v>
      </c>
      <c r="Q336" s="49" t="s">
        <v>8</v>
      </c>
      <c r="R336" s="354" t="s">
        <v>13</v>
      </c>
      <c r="S336" s="355"/>
      <c r="T336" s="354" t="s">
        <v>14</v>
      </c>
      <c r="U336" s="356"/>
      <c r="V336" s="354" t="s">
        <v>9</v>
      </c>
      <c r="W336" s="355"/>
      <c r="X336" s="354" t="s">
        <v>10</v>
      </c>
      <c r="Y336" s="355"/>
      <c r="Z336" s="354" t="s">
        <v>1</v>
      </c>
      <c r="AA336" s="355"/>
      <c r="AB336" s="38" t="s">
        <v>114</v>
      </c>
      <c r="AC336" s="38" t="s">
        <v>35</v>
      </c>
      <c r="AD336" s="38" t="s">
        <v>116</v>
      </c>
    </row>
    <row r="337" spans="1:30">
      <c r="A337" s="1">
        <f>IF(AND(M337&gt;=VLOOKUP(M337,データ!$K$3:$O$6,1,TRUE),M337&lt;=VLOOKUP(M337,データ!$K$3:$O$6,2,TRUE)),VLOOKUP(M337,データ!$K$3:$O$6,5,TRUE),"")</f>
        <v>1</v>
      </c>
      <c r="B337" s="74">
        <f>IF(AND(M337&gt;=VLOOKUP(M337,データ!$K$3:$O$6,1,TRUE),M337&lt;=VLOOKUP(M337,データ!$K$3:$O$6,2,TRUE)),VLOOKUP(M337,データ!$K$3:$O$6,3,TRUE),"")</f>
        <v>0.41666666666666669</v>
      </c>
      <c r="C337" s="1">
        <f>IF(AND(M337&gt;=VLOOKUP(M337,データ!$K$11:$O$16,1,TRUE),M337&lt;=VLOOKUP(M337,データ!$K$11:$O$16,2,TRUE)),VLOOKUP(M337,データ!$K$11:$O$16,5,TRUE),0)</f>
        <v>0</v>
      </c>
      <c r="D337" s="74" t="str">
        <f>IF(AND(M337&gt;=VLOOKUP(M337,データ!$K$11:$O$16,1,TRUE),M337&lt;=VLOOKUP(M337,データ!$K$11:$O$16,2,TRUE)),VLOOKUP(M337,データ!$K$11:$O$16,3,TRUE),"")</f>
        <v/>
      </c>
      <c r="E337" s="74">
        <f t="shared" ref="E337:E363" si="330">IF(C337=2,IF(OR(N337="土",N337="日"),D337,B337),IF(C337=1,D337,B337))</f>
        <v>0.41666666666666669</v>
      </c>
      <c r="F337" s="75">
        <f>VLOOKUP(E337,データ!$K$20:$O$24,5,FALSE)</f>
        <v>0</v>
      </c>
      <c r="G337" s="74">
        <f>IF(AND(M337&gt;=VLOOKUP(M337,データ!$K$3:$O$6,1,TRUE),M337&lt;=VLOOKUP(M337,データ!$K$3:$O$6,2,TRUE)),VLOOKUP(M337,データ!$K$3:$O$6,4,TRUE),"")</f>
        <v>0.70833333333333337</v>
      </c>
      <c r="H337" s="256">
        <f>INDEX(データ!L$21:N$24,MATCH(配置表!E337,データ!K$21:K$24,0),MATCH(配置表!G337,データ!L$20:N$20,0))</f>
        <v>1</v>
      </c>
      <c r="I337" s="52" t="str">
        <f>IF(ISERROR(VLOOKUP(M337,データ!$A$3:$C$20,3,FALSE)),"",VLOOKUP(M337,データ!$A$3:$C$20,3,FALSE))</f>
        <v/>
      </c>
      <c r="J337" s="52" t="str">
        <f t="shared" ref="J337:J363" si="331">IF(N337="月",1,"")</f>
        <v/>
      </c>
      <c r="K337" s="53">
        <f>IF(K334=2,IF(I337=1,2,1),IF(I337=1,IF(J337=1,2,0),IF(J337=1,1,0)))</f>
        <v>0</v>
      </c>
      <c r="L337" s="28" t="str">
        <f t="shared" ref="L337:L361" si="332">IF(AND(O337="",P337=""),"閉",IF(K337=1,"閉",""))</f>
        <v/>
      </c>
      <c r="M337" s="25">
        <f>M334+1</f>
        <v>46054</v>
      </c>
      <c r="N337" s="24" t="str">
        <f t="shared" ref="N337:N364" si="333">TEXT(WEEKDAY(M337,1),"aaa")</f>
        <v>日</v>
      </c>
      <c r="O337" s="70" t="str">
        <f>IF(AND(M337&gt;=VLOOKUP(M337,データ!$E$3:$G$9,1,TRUE),M337&lt;=VLOOKUP(M337,データ!$E$3:$G$9,2,TRUE)),VLOOKUP(M337,データ!$E$3:$G$9,3,TRUE),"")</f>
        <v>冬　特別展</v>
      </c>
      <c r="P337" s="70" t="str">
        <f>IF(AND(M337&gt;=VLOOKUP(M337,データ!$E$14:$G$21,1,TRUE),M337&lt;=VLOOKUP(M337,データ!$E$14:$G$21,2,TRUE)),VLOOKUP(M337,データ!$E$14:$G$21,3,TRUE),"")</f>
        <v>テーマ展</v>
      </c>
      <c r="Q337" s="45" t="str">
        <f t="shared" ref="Q337:Q364" si="334">IF(L337="閉","休","○")</f>
        <v>○</v>
      </c>
      <c r="R337" s="46"/>
      <c r="S337" s="33" t="str">
        <f t="shared" ref="S337" si="335">IF(H337="閉","休",IF(K337="","",IF(OR(J337="土",J337="日",E337=1),IF(OR(K337="ダミー　特別展",K337="ダミー　特別展"),"◎",IF(OR(K337="夏　特別展",K337="秋　特別展",K337="春　特別展"),"○","")),"")))</f>
        <v/>
      </c>
      <c r="T337" s="45"/>
      <c r="U337" s="33" t="str">
        <f t="shared" ref="U337" si="336">IF(L337="閉","休",IF(S337="","●","●"))</f>
        <v>●</v>
      </c>
      <c r="V337" s="32"/>
      <c r="W337" s="33" t="str">
        <f>IF(P337="閉","休",IF(O337="","",IF(O337="冬　特別展",IF(OR(N337="土",N337="日",I337=1),"◎",""),"○")))</f>
        <v>◎</v>
      </c>
      <c r="X337" s="35"/>
      <c r="Y337" s="47" t="str">
        <f t="shared" ref="Y337:Y364" si="337">IF(L337="閉","休",IF(H337=1,"○",IF(H337=2,"●","Err")))</f>
        <v>○</v>
      </c>
      <c r="Z337" s="35">
        <f>IF(L337="閉","",(IF(AND(M337&gt;=VLOOKUP(M337,データ!$E$3:$G$9,1,TRUE),M337&lt;=VLOOKUP(M337,データ!$E$3:$G$9,2,TRUE)),VLOOKUP(M337,データ!$E$3:$H$9,4,TRUE),0)+IF(AND(M337&gt;=VLOOKUP(M337,データ!$E$14:$G$21,1,TRUE),M337&lt;=VLOOKUP(M337,データ!$E$14:$G$21,2,TRUE)),VLOOKUP(M337,データ!$E$14:$H$21,4,TRUE),0)))</f>
        <v>5</v>
      </c>
      <c r="AA337" s="47" t="str">
        <f t="shared" ref="AA337:AA364" si="338">IF(L337="閉","休",IF(O337="","△",IF(H337=1,"○",IF(H337=2,"●","Err"))))</f>
        <v>○</v>
      </c>
      <c r="AB337" s="232">
        <f t="shared" ref="AB337:AB365" si="339">IF(K337=1,"",E337)</f>
        <v>0.41666666666666669</v>
      </c>
      <c r="AC337" s="232">
        <f t="shared" ref="AC337:AC365" si="340">IF(K337=1,"",G337)</f>
        <v>0.70833333333333337</v>
      </c>
      <c r="AD337" s="226" t="str">
        <f>IF(K337=1,IF(ISERROR(VLOOKUP(M337,データ!$A$3:$C$23,2,FALSE)),"",VLOOKUP(M337,データ!$A$3:$C$23,2,FALSE)),(IF(ISERROR(VLOOKUP(M337,データ!$A$3:$C$23,2,FALSE)),"",VLOOKUP(M337,データ!$A$3:$C$23,2,FALSE))))</f>
        <v/>
      </c>
    </row>
    <row r="338" spans="1:30">
      <c r="A338" s="1">
        <f>IF(AND(M338&gt;=VLOOKUP(M338,データ!$K$3:$O$6,1,TRUE),M338&lt;=VLOOKUP(M338,データ!$K$3:$O$6,2,TRUE)),VLOOKUP(M338,データ!$K$3:$O$6,5,TRUE),"")</f>
        <v>1</v>
      </c>
      <c r="B338" s="74">
        <f>IF(AND(M338&gt;=VLOOKUP(M338,データ!$K$3:$O$6,1,TRUE),M338&lt;=VLOOKUP(M338,データ!$K$3:$O$6,2,TRUE)),VLOOKUP(M338,データ!$K$3:$O$6,3,TRUE),"")</f>
        <v>0.41666666666666669</v>
      </c>
      <c r="C338" s="1">
        <f>IF(AND(M338&gt;=VLOOKUP(M338,データ!$K$11:$O$16,1,TRUE),M338&lt;=VLOOKUP(M338,データ!$K$11:$O$16,2,TRUE)),VLOOKUP(M338,データ!$K$11:$O$16,5,TRUE),0)</f>
        <v>0</v>
      </c>
      <c r="D338" s="74" t="str">
        <f>IF(AND(M338&gt;=VLOOKUP(M338,データ!$K$11:$O$16,1,TRUE),M338&lt;=VLOOKUP(M338,データ!$K$11:$O$16,2,TRUE)),VLOOKUP(M338,データ!$K$11:$O$16,3,TRUE),"")</f>
        <v/>
      </c>
      <c r="E338" s="74">
        <f t="shared" si="330"/>
        <v>0.41666666666666669</v>
      </c>
      <c r="F338" s="75">
        <f>VLOOKUP(E338,データ!$K$20:$O$24,5,FALSE)</f>
        <v>0</v>
      </c>
      <c r="G338" s="74">
        <f>IF(AND(M338&gt;=VLOOKUP(M338,データ!$K$3:$O$6,1,TRUE),M338&lt;=VLOOKUP(M338,データ!$K$3:$O$6,2,TRUE)),VLOOKUP(M338,データ!$K$3:$O$6,4,TRUE),"")</f>
        <v>0.70833333333333337</v>
      </c>
      <c r="H338" s="256">
        <f>INDEX(データ!L$21:N$24,MATCH(配置表!E338,データ!K$21:K$24,0),MATCH(配置表!G338,データ!L$20:N$20,0))</f>
        <v>1</v>
      </c>
      <c r="I338" s="52" t="str">
        <f>IF(ISERROR(VLOOKUP(M338,データ!$A$3:$C$20,3,FALSE)),"",VLOOKUP(M338,データ!$A$3:$C$20,3,FALSE))</f>
        <v/>
      </c>
      <c r="J338" s="52">
        <f t="shared" si="331"/>
        <v>1</v>
      </c>
      <c r="K338" s="53">
        <f>IF(K337=2,IF(I338=1,2,1),IF(I338=1,IF(J338=1,2,0),IF(J338=1,1,0)))</f>
        <v>1</v>
      </c>
      <c r="L338" s="28" t="str">
        <f t="shared" si="332"/>
        <v>閉</v>
      </c>
      <c r="M338" s="9">
        <f>M337+1</f>
        <v>46055</v>
      </c>
      <c r="N338" s="10" t="str">
        <f t="shared" si="333"/>
        <v>月</v>
      </c>
      <c r="O338" s="63" t="str">
        <f>IF(AND(M338&gt;=VLOOKUP(M338,データ!$E$3:$G$9,1,TRUE),M338&lt;=VLOOKUP(M338,データ!$E$3:$G$9,2,TRUE)),VLOOKUP(M338,データ!$E$3:$G$9,3,TRUE),"")</f>
        <v>冬　特別展</v>
      </c>
      <c r="P338" s="63" t="str">
        <f>IF(AND(M338&gt;=VLOOKUP(M338,データ!$E$14:$G$21,1,TRUE),M338&lt;=VLOOKUP(M338,データ!$E$14:$G$21,2,TRUE)),VLOOKUP(M338,データ!$E$14:$G$21,3,TRUE),"")</f>
        <v>テーマ展</v>
      </c>
      <c r="Q338" s="44" t="str">
        <f t="shared" si="334"/>
        <v>休</v>
      </c>
      <c r="R338" s="32"/>
      <c r="S338" s="33" t="str">
        <f t="shared" ref="S338:S365" si="341">IF(L338="閉","休",IF(O338="","",IF(O338="冬　特別展",IF(OR(N338="土",N338="日",I338=1),"○",""),"○")))</f>
        <v>休</v>
      </c>
      <c r="T338" s="32"/>
      <c r="U338" s="33" t="str">
        <f t="shared" ref="U338:U364" si="342">IF(L338="閉","休",IF(S338="","●","●"))</f>
        <v>休</v>
      </c>
      <c r="V338" s="32"/>
      <c r="W338" s="33" t="str">
        <f t="shared" ref="W338:W365" si="343">IF(L338="閉","休",IF(O338="","",IF(OR(N338="土",N338="日",I338=1),IF(OR(O338="ダミー　特別展",O338="ダミー　特別展"),"◎",IF(OR(O338="夏　特別展",O338="秋　特別展",O338="春　特別展"),"○","")),"")))</f>
        <v>休</v>
      </c>
      <c r="X338" s="32"/>
      <c r="Y338" s="33" t="str">
        <f t="shared" si="337"/>
        <v>休</v>
      </c>
      <c r="Z338" s="32" t="str">
        <f>IF(L338="閉","",(IF(AND(M338&gt;=VLOOKUP(M338,データ!$E$3:$G$9,1,TRUE),M338&lt;=VLOOKUP(M338,データ!$E$3:$G$9,2,TRUE)),VLOOKUP(M338,データ!$E$3:$H$9,4,TRUE),0)+IF(AND(M338&gt;=VLOOKUP(M338,データ!$E$14:$G$21,1,TRUE),M338&lt;=VLOOKUP(M338,データ!$E$14:$G$21,2,TRUE)),VLOOKUP(M338,データ!$E$14:$H$21,4,TRUE),0)))</f>
        <v/>
      </c>
      <c r="AA338" s="33" t="str">
        <f t="shared" si="338"/>
        <v>休</v>
      </c>
      <c r="AB338" s="227" t="str">
        <f t="shared" si="339"/>
        <v/>
      </c>
      <c r="AC338" s="227" t="str">
        <f t="shared" si="340"/>
        <v/>
      </c>
      <c r="AD338" s="228" t="str">
        <f>IF(K338=1,IF(ISERROR(VLOOKUP(M338,データ!$A$3:$C$23,2,FALSE)),"",VLOOKUP(M338,データ!$A$3:$C$23,2,FALSE)),(IF(ISERROR(VLOOKUP(M338,データ!$A$3:$C$23,2,FALSE)),"",VLOOKUP(M338,データ!$A$3:$C$23,2,FALSE))))</f>
        <v/>
      </c>
    </row>
    <row r="339" spans="1:30">
      <c r="A339" s="1">
        <f>IF(AND(M339&gt;=VLOOKUP(M339,データ!$K$3:$O$6,1,TRUE),M339&lt;=VLOOKUP(M339,データ!$K$3:$O$6,2,TRUE)),VLOOKUP(M339,データ!$K$3:$O$6,5,TRUE),"")</f>
        <v>1</v>
      </c>
      <c r="B339" s="74">
        <f>IF(AND(M339&gt;=VLOOKUP(M339,データ!$K$3:$O$6,1,TRUE),M339&lt;=VLOOKUP(M339,データ!$K$3:$O$6,2,TRUE)),VLOOKUP(M339,データ!$K$3:$O$6,3,TRUE),"")</f>
        <v>0.41666666666666669</v>
      </c>
      <c r="C339" s="1">
        <f>IF(AND(M339&gt;=VLOOKUP(M339,データ!$K$11:$O$16,1,TRUE),M339&lt;=VLOOKUP(M339,データ!$K$11:$O$16,2,TRUE)),VLOOKUP(M339,データ!$K$11:$O$16,5,TRUE),0)</f>
        <v>0</v>
      </c>
      <c r="D339" s="74" t="str">
        <f>IF(AND(M339&gt;=VLOOKUP(M339,データ!$K$11:$O$16,1,TRUE),M339&lt;=VLOOKUP(M339,データ!$K$11:$O$16,2,TRUE)),VLOOKUP(M339,データ!$K$11:$O$16,3,TRUE),"")</f>
        <v/>
      </c>
      <c r="E339" s="74">
        <f t="shared" si="330"/>
        <v>0.41666666666666669</v>
      </c>
      <c r="F339" s="75">
        <f>VLOOKUP(E339,データ!$K$20:$O$24,5,FALSE)</f>
        <v>0</v>
      </c>
      <c r="G339" s="74">
        <f>IF(AND(M339&gt;=VLOOKUP(M339,データ!$K$3:$O$6,1,TRUE),M339&lt;=VLOOKUP(M339,データ!$K$3:$O$6,2,TRUE)),VLOOKUP(M339,データ!$K$3:$O$6,4,TRUE),"")</f>
        <v>0.70833333333333337</v>
      </c>
      <c r="H339" s="256">
        <f>INDEX(データ!L$21:N$24,MATCH(配置表!E339,データ!K$21:K$24,0),MATCH(配置表!G339,データ!L$20:N$20,0))</f>
        <v>1</v>
      </c>
      <c r="I339" s="52" t="str">
        <f>IF(ISERROR(VLOOKUP(M339,データ!$A$3:$C$20,3,FALSE)),"",VLOOKUP(M339,データ!$A$3:$C$20,3,FALSE))</f>
        <v/>
      </c>
      <c r="J339" s="52" t="str">
        <f t="shared" si="331"/>
        <v/>
      </c>
      <c r="K339" s="53">
        <f t="shared" ref="K339:K364" si="344">IF(K338=2,IF(I339=1,2,1),IF(I339=1,IF(J339=1,2,0),IF(J339=1,1,0)))</f>
        <v>0</v>
      </c>
      <c r="L339" s="28" t="str">
        <f t="shared" si="332"/>
        <v/>
      </c>
      <c r="M339" s="9">
        <f t="shared" ref="M339:M364" si="345">M338+1</f>
        <v>46056</v>
      </c>
      <c r="N339" s="10" t="str">
        <f t="shared" si="333"/>
        <v>火</v>
      </c>
      <c r="O339" s="63" t="str">
        <f>IF(AND(M339&gt;=VLOOKUP(M339,データ!$E$3:$G$9,1,TRUE),M339&lt;=VLOOKUP(M339,データ!$E$3:$G$9,2,TRUE)),VLOOKUP(M339,データ!$E$3:$G$9,3,TRUE),"")</f>
        <v>冬　特別展</v>
      </c>
      <c r="P339" s="63" t="str">
        <f>IF(AND(M339&gt;=VLOOKUP(M339,データ!$E$14:$G$21,1,TRUE),M339&lt;=VLOOKUP(M339,データ!$E$14:$G$21,2,TRUE)),VLOOKUP(M339,データ!$E$14:$G$21,3,TRUE),"")</f>
        <v>テーマ展</v>
      </c>
      <c r="Q339" s="45" t="str">
        <f t="shared" si="334"/>
        <v>○</v>
      </c>
      <c r="R339" s="45"/>
      <c r="S339" s="33" t="str">
        <f t="shared" si="341"/>
        <v/>
      </c>
      <c r="T339" s="10"/>
      <c r="U339" s="10" t="str">
        <f t="shared" si="342"/>
        <v>●</v>
      </c>
      <c r="V339" s="32"/>
      <c r="W339" s="33" t="str">
        <f t="shared" si="343"/>
        <v/>
      </c>
      <c r="X339" s="32"/>
      <c r="Y339" s="33" t="str">
        <f t="shared" si="337"/>
        <v>○</v>
      </c>
      <c r="Z339" s="32">
        <f>IF(L339="閉","",(IF(AND(M339&gt;=VLOOKUP(M339,データ!$E$3:$G$9,1,TRUE),M339&lt;=VLOOKUP(M339,データ!$E$3:$G$9,2,TRUE)),VLOOKUP(M339,データ!$E$3:$H$9,4,TRUE),0)+IF(AND(M339&gt;=VLOOKUP(M339,データ!$E$14:$G$21,1,TRUE),M339&lt;=VLOOKUP(M339,データ!$E$14:$G$21,2,TRUE)),VLOOKUP(M339,データ!$E$14:$H$21,4,TRUE),0)))</f>
        <v>5</v>
      </c>
      <c r="AA339" s="33" t="str">
        <f t="shared" si="338"/>
        <v>○</v>
      </c>
      <c r="AB339" s="227">
        <f t="shared" si="339"/>
        <v>0.41666666666666669</v>
      </c>
      <c r="AC339" s="227">
        <f t="shared" si="340"/>
        <v>0.70833333333333337</v>
      </c>
      <c r="AD339" s="228" t="str">
        <f>IF(K339=1,IF(ISERROR(VLOOKUP(M339,データ!$A$3:$C$23,2,FALSE)),"",VLOOKUP(M339,データ!$A$3:$C$23,2,FALSE)),(IF(ISERROR(VLOOKUP(M339,データ!$A$3:$C$23,2,FALSE)),"",VLOOKUP(M339,データ!$A$3:$C$23,2,FALSE))))</f>
        <v/>
      </c>
    </row>
    <row r="340" spans="1:30">
      <c r="A340" s="1">
        <f>IF(AND(M340&gt;=VLOOKUP(M340,データ!$K$3:$O$6,1,TRUE),M340&lt;=VLOOKUP(M340,データ!$K$3:$O$6,2,TRUE)),VLOOKUP(M340,データ!$K$3:$O$6,5,TRUE),"")</f>
        <v>1</v>
      </c>
      <c r="B340" s="74">
        <f>IF(AND(M340&gt;=VLOOKUP(M340,データ!$K$3:$O$6,1,TRUE),M340&lt;=VLOOKUP(M340,データ!$K$3:$O$6,2,TRUE)),VLOOKUP(M340,データ!$K$3:$O$6,3,TRUE),"")</f>
        <v>0.41666666666666669</v>
      </c>
      <c r="C340" s="1">
        <f>IF(AND(M340&gt;=VLOOKUP(M340,データ!$K$11:$O$16,1,TRUE),M340&lt;=VLOOKUP(M340,データ!$K$11:$O$16,2,TRUE)),VLOOKUP(M340,データ!$K$11:$O$16,5,TRUE),0)</f>
        <v>0</v>
      </c>
      <c r="D340" s="74" t="str">
        <f>IF(AND(M340&gt;=VLOOKUP(M340,データ!$K$11:$O$16,1,TRUE),M340&lt;=VLOOKUP(M340,データ!$K$11:$O$16,2,TRUE)),VLOOKUP(M340,データ!$K$11:$O$16,3,TRUE),"")</f>
        <v/>
      </c>
      <c r="E340" s="74">
        <f t="shared" si="330"/>
        <v>0.41666666666666669</v>
      </c>
      <c r="F340" s="75">
        <f>VLOOKUP(E340,データ!$K$20:$O$24,5,FALSE)</f>
        <v>0</v>
      </c>
      <c r="G340" s="74">
        <f>IF(AND(M340&gt;=VLOOKUP(M340,データ!$K$3:$O$6,1,TRUE),M340&lt;=VLOOKUP(M340,データ!$K$3:$O$6,2,TRUE)),VLOOKUP(M340,データ!$K$3:$O$6,4,TRUE),"")</f>
        <v>0.70833333333333337</v>
      </c>
      <c r="H340" s="256">
        <f>INDEX(データ!L$21:N$24,MATCH(配置表!E340,データ!K$21:K$24,0),MATCH(配置表!G340,データ!L$20:N$20,0))</f>
        <v>1</v>
      </c>
      <c r="I340" s="52" t="str">
        <f>IF(ISERROR(VLOOKUP(M340,データ!$A$3:$C$20,3,FALSE)),"",VLOOKUP(M340,データ!$A$3:$C$20,3,FALSE))</f>
        <v/>
      </c>
      <c r="J340" s="52" t="str">
        <f t="shared" si="331"/>
        <v/>
      </c>
      <c r="K340" s="53">
        <f t="shared" si="344"/>
        <v>0</v>
      </c>
      <c r="L340" s="28" t="str">
        <f t="shared" si="332"/>
        <v/>
      </c>
      <c r="M340" s="9">
        <f t="shared" si="345"/>
        <v>46057</v>
      </c>
      <c r="N340" s="10" t="str">
        <f t="shared" si="333"/>
        <v>水</v>
      </c>
      <c r="O340" s="63" t="str">
        <f>IF(AND(M340&gt;=VLOOKUP(M340,データ!$E$3:$G$9,1,TRUE),M340&lt;=VLOOKUP(M340,データ!$E$3:$G$9,2,TRUE)),VLOOKUP(M340,データ!$E$3:$G$9,3,TRUE),"")</f>
        <v>冬　特別展</v>
      </c>
      <c r="P340" s="63" t="str">
        <f>IF(AND(M340&gt;=VLOOKUP(M340,データ!$E$14:$G$21,1,TRUE),M340&lt;=VLOOKUP(M340,データ!$E$14:$G$21,2,TRUE)),VLOOKUP(M340,データ!$E$14:$G$21,3,TRUE),"")</f>
        <v>テーマ展</v>
      </c>
      <c r="Q340" s="45" t="str">
        <f t="shared" si="334"/>
        <v>○</v>
      </c>
      <c r="R340" s="45"/>
      <c r="S340" s="33" t="str">
        <f t="shared" si="341"/>
        <v/>
      </c>
      <c r="T340" s="10"/>
      <c r="U340" s="10" t="str">
        <f t="shared" si="342"/>
        <v>●</v>
      </c>
      <c r="V340" s="32"/>
      <c r="W340" s="33" t="str">
        <f t="shared" si="343"/>
        <v/>
      </c>
      <c r="X340" s="32"/>
      <c r="Y340" s="33" t="str">
        <f t="shared" si="337"/>
        <v>○</v>
      </c>
      <c r="Z340" s="32">
        <f>IF(L340="閉","",(IF(AND(M340&gt;=VLOOKUP(M340,データ!$E$3:$G$9,1,TRUE),M340&lt;=VLOOKUP(M340,データ!$E$3:$G$9,2,TRUE)),VLOOKUP(M340,データ!$E$3:$H$9,4,TRUE),0)+IF(AND(M340&gt;=VLOOKUP(M340,データ!$E$14:$G$21,1,TRUE),M340&lt;=VLOOKUP(M340,データ!$E$14:$G$21,2,TRUE)),VLOOKUP(M340,データ!$E$14:$H$21,4,TRUE),0)))</f>
        <v>5</v>
      </c>
      <c r="AA340" s="33" t="str">
        <f t="shared" si="338"/>
        <v>○</v>
      </c>
      <c r="AB340" s="227">
        <f t="shared" si="339"/>
        <v>0.41666666666666669</v>
      </c>
      <c r="AC340" s="227">
        <f t="shared" si="340"/>
        <v>0.70833333333333337</v>
      </c>
      <c r="AD340" s="228" t="str">
        <f>IF(K340=1,IF(ISERROR(VLOOKUP(M340,データ!$A$3:$C$23,2,FALSE)),"",VLOOKUP(M340,データ!$A$3:$C$23,2,FALSE)),(IF(ISERROR(VLOOKUP(M340,データ!$A$3:$C$23,2,FALSE)),"",VLOOKUP(M340,データ!$A$3:$C$23,2,FALSE))))</f>
        <v/>
      </c>
    </row>
    <row r="341" spans="1:30">
      <c r="A341" s="1">
        <f>IF(AND(M341&gt;=VLOOKUP(M341,データ!$K$3:$O$6,1,TRUE),M341&lt;=VLOOKUP(M341,データ!$K$3:$O$6,2,TRUE)),VLOOKUP(M341,データ!$K$3:$O$6,5,TRUE),"")</f>
        <v>1</v>
      </c>
      <c r="B341" s="74">
        <f>IF(AND(M341&gt;=VLOOKUP(M341,データ!$K$3:$O$6,1,TRUE),M341&lt;=VLOOKUP(M341,データ!$K$3:$O$6,2,TRUE)),VLOOKUP(M341,データ!$K$3:$O$6,3,TRUE),"")</f>
        <v>0.41666666666666669</v>
      </c>
      <c r="C341" s="1">
        <f>IF(AND(M341&gt;=VLOOKUP(M341,データ!$K$11:$O$16,1,TRUE),M341&lt;=VLOOKUP(M341,データ!$K$11:$O$16,2,TRUE)),VLOOKUP(M341,データ!$K$11:$O$16,5,TRUE),0)</f>
        <v>0</v>
      </c>
      <c r="D341" s="74" t="str">
        <f>IF(AND(M341&gt;=VLOOKUP(M341,データ!$K$11:$O$16,1,TRUE),M341&lt;=VLOOKUP(M341,データ!$K$11:$O$16,2,TRUE)),VLOOKUP(M341,データ!$K$11:$O$16,3,TRUE),"")</f>
        <v/>
      </c>
      <c r="E341" s="74">
        <f t="shared" si="330"/>
        <v>0.41666666666666669</v>
      </c>
      <c r="F341" s="75">
        <f>VLOOKUP(E341,データ!$K$20:$O$24,5,FALSE)</f>
        <v>0</v>
      </c>
      <c r="G341" s="74">
        <f>IF(AND(M341&gt;=VLOOKUP(M341,データ!$K$3:$O$6,1,TRUE),M341&lt;=VLOOKUP(M341,データ!$K$3:$O$6,2,TRUE)),VLOOKUP(M341,データ!$K$3:$O$6,4,TRUE),"")</f>
        <v>0.70833333333333337</v>
      </c>
      <c r="H341" s="256">
        <f>INDEX(データ!L$21:N$24,MATCH(配置表!E341,データ!K$21:K$24,0),MATCH(配置表!G341,データ!L$20:N$20,0))</f>
        <v>1</v>
      </c>
      <c r="I341" s="52" t="str">
        <f>IF(ISERROR(VLOOKUP(M341,データ!$A$3:$C$20,3,FALSE)),"",VLOOKUP(M341,データ!$A$3:$C$20,3,FALSE))</f>
        <v/>
      </c>
      <c r="J341" s="52" t="str">
        <f t="shared" si="331"/>
        <v/>
      </c>
      <c r="K341" s="53">
        <f t="shared" si="344"/>
        <v>0</v>
      </c>
      <c r="L341" s="28" t="str">
        <f t="shared" si="332"/>
        <v/>
      </c>
      <c r="M341" s="9">
        <f t="shared" si="345"/>
        <v>46058</v>
      </c>
      <c r="N341" s="10" t="str">
        <f t="shared" si="333"/>
        <v>木</v>
      </c>
      <c r="O341" s="63" t="str">
        <f>IF(AND(M341&gt;=VLOOKUP(M341,データ!$E$3:$G$9,1,TRUE),M341&lt;=VLOOKUP(M341,データ!$E$3:$G$9,2,TRUE)),VLOOKUP(M341,データ!$E$3:$G$9,3,TRUE),"")</f>
        <v>冬　特別展</v>
      </c>
      <c r="P341" s="63" t="str">
        <f>IF(AND(M341&gt;=VLOOKUP(M341,データ!$E$14:$G$21,1,TRUE),M341&lt;=VLOOKUP(M341,データ!$E$14:$G$21,2,TRUE)),VLOOKUP(M341,データ!$E$14:$G$21,3,TRUE),"")</f>
        <v>テーマ展</v>
      </c>
      <c r="Q341" s="45" t="str">
        <f t="shared" si="334"/>
        <v>○</v>
      </c>
      <c r="R341" s="45"/>
      <c r="S341" s="33" t="str">
        <f t="shared" si="341"/>
        <v/>
      </c>
      <c r="T341" s="10"/>
      <c r="U341" s="10" t="str">
        <f t="shared" si="342"/>
        <v>●</v>
      </c>
      <c r="V341" s="32"/>
      <c r="W341" s="33" t="str">
        <f t="shared" si="343"/>
        <v/>
      </c>
      <c r="X341" s="32"/>
      <c r="Y341" s="33" t="str">
        <f t="shared" si="337"/>
        <v>○</v>
      </c>
      <c r="Z341" s="32">
        <f>IF(L341="閉","",(IF(AND(M341&gt;=VLOOKUP(M341,データ!$E$3:$G$9,1,TRUE),M341&lt;=VLOOKUP(M341,データ!$E$3:$G$9,2,TRUE)),VLOOKUP(M341,データ!$E$3:$H$9,4,TRUE),0)+IF(AND(M341&gt;=VLOOKUP(M341,データ!$E$14:$G$21,1,TRUE),M341&lt;=VLOOKUP(M341,データ!$E$14:$G$21,2,TRUE)),VLOOKUP(M341,データ!$E$14:$H$21,4,TRUE),0)))</f>
        <v>5</v>
      </c>
      <c r="AA341" s="33" t="str">
        <f t="shared" si="338"/>
        <v>○</v>
      </c>
      <c r="AB341" s="227">
        <f t="shared" si="339"/>
        <v>0.41666666666666669</v>
      </c>
      <c r="AC341" s="227">
        <f t="shared" si="340"/>
        <v>0.70833333333333337</v>
      </c>
      <c r="AD341" s="228" t="str">
        <f>IF(K341=1,IF(ISERROR(VLOOKUP(M341,データ!$A$3:$C$23,2,FALSE)),"",VLOOKUP(M341,データ!$A$3:$C$23,2,FALSE)),(IF(ISERROR(VLOOKUP(M341,データ!$A$3:$C$23,2,FALSE)),"",VLOOKUP(M341,データ!$A$3:$C$23,2,FALSE))))</f>
        <v/>
      </c>
    </row>
    <row r="342" spans="1:30">
      <c r="A342" s="1">
        <f>IF(AND(M342&gt;=VLOOKUP(M342,データ!$K$3:$O$6,1,TRUE),M342&lt;=VLOOKUP(M342,データ!$K$3:$O$6,2,TRUE)),VLOOKUP(M342,データ!$K$3:$O$6,5,TRUE),"")</f>
        <v>1</v>
      </c>
      <c r="B342" s="74">
        <f>IF(AND(M342&gt;=VLOOKUP(M342,データ!$K$3:$O$6,1,TRUE),M342&lt;=VLOOKUP(M342,データ!$K$3:$O$6,2,TRUE)),VLOOKUP(M342,データ!$K$3:$O$6,3,TRUE),"")</f>
        <v>0.41666666666666669</v>
      </c>
      <c r="C342" s="1">
        <f>IF(AND(M342&gt;=VLOOKUP(M342,データ!$K$11:$O$16,1,TRUE),M342&lt;=VLOOKUP(M342,データ!$K$11:$O$16,2,TRUE)),VLOOKUP(M342,データ!$K$11:$O$16,5,TRUE),0)</f>
        <v>0</v>
      </c>
      <c r="D342" s="74" t="str">
        <f>IF(AND(M342&gt;=VLOOKUP(M342,データ!$K$11:$O$16,1,TRUE),M342&lt;=VLOOKUP(M342,データ!$K$11:$O$16,2,TRUE)),VLOOKUP(M342,データ!$K$11:$O$16,3,TRUE),"")</f>
        <v/>
      </c>
      <c r="E342" s="74">
        <f t="shared" si="330"/>
        <v>0.41666666666666669</v>
      </c>
      <c r="F342" s="75">
        <f>VLOOKUP(E342,データ!$K$20:$O$24,5,FALSE)</f>
        <v>0</v>
      </c>
      <c r="G342" s="74">
        <f>IF(AND(M342&gt;=VLOOKUP(M342,データ!$K$3:$O$6,1,TRUE),M342&lt;=VLOOKUP(M342,データ!$K$3:$O$6,2,TRUE)),VLOOKUP(M342,データ!$K$3:$O$6,4,TRUE),"")</f>
        <v>0.70833333333333337</v>
      </c>
      <c r="H342" s="256">
        <f>INDEX(データ!L$21:N$24,MATCH(配置表!E342,データ!K$21:K$24,0),MATCH(配置表!G342,データ!L$20:N$20,0))</f>
        <v>1</v>
      </c>
      <c r="I342" s="52" t="str">
        <f>IF(ISERROR(VLOOKUP(M342,データ!$A$3:$C$20,3,FALSE)),"",VLOOKUP(M342,データ!$A$3:$C$20,3,FALSE))</f>
        <v/>
      </c>
      <c r="J342" s="52" t="str">
        <f t="shared" si="331"/>
        <v/>
      </c>
      <c r="K342" s="53">
        <f t="shared" si="344"/>
        <v>0</v>
      </c>
      <c r="L342" s="28" t="str">
        <f t="shared" si="332"/>
        <v/>
      </c>
      <c r="M342" s="9">
        <f t="shared" si="345"/>
        <v>46059</v>
      </c>
      <c r="N342" s="10" t="str">
        <f t="shared" si="333"/>
        <v>金</v>
      </c>
      <c r="O342" s="63" t="str">
        <f>IF(AND(M342&gt;=VLOOKUP(M342,データ!$E$3:$G$9,1,TRUE),M342&lt;=VLOOKUP(M342,データ!$E$3:$G$9,2,TRUE)),VLOOKUP(M342,データ!$E$3:$G$9,3,TRUE),"")</f>
        <v>冬　特別展</v>
      </c>
      <c r="P342" s="63" t="str">
        <f>IF(AND(M342&gt;=VLOOKUP(M342,データ!$E$14:$G$21,1,TRUE),M342&lt;=VLOOKUP(M342,データ!$E$14:$G$21,2,TRUE)),VLOOKUP(M342,データ!$E$14:$G$21,3,TRUE),"")</f>
        <v>テーマ展</v>
      </c>
      <c r="Q342" s="45" t="str">
        <f t="shared" si="334"/>
        <v>○</v>
      </c>
      <c r="R342" s="45"/>
      <c r="S342" s="33" t="str">
        <f t="shared" si="341"/>
        <v/>
      </c>
      <c r="T342" s="10"/>
      <c r="U342" s="10" t="str">
        <f t="shared" si="342"/>
        <v>●</v>
      </c>
      <c r="V342" s="32"/>
      <c r="W342" s="33" t="str">
        <f t="shared" si="343"/>
        <v/>
      </c>
      <c r="X342" s="32"/>
      <c r="Y342" s="33" t="str">
        <f t="shared" si="337"/>
        <v>○</v>
      </c>
      <c r="Z342" s="32">
        <f>IF(L342="閉","",(IF(AND(M342&gt;=VLOOKUP(M342,データ!$E$3:$G$9,1,TRUE),M342&lt;=VLOOKUP(M342,データ!$E$3:$G$9,2,TRUE)),VLOOKUP(M342,データ!$E$3:$H$9,4,TRUE),0)+IF(AND(M342&gt;=VLOOKUP(M342,データ!$E$14:$G$21,1,TRUE),M342&lt;=VLOOKUP(M342,データ!$E$14:$G$21,2,TRUE)),VLOOKUP(M342,データ!$E$14:$H$21,4,TRUE),0)))</f>
        <v>5</v>
      </c>
      <c r="AA342" s="33" t="str">
        <f t="shared" si="338"/>
        <v>○</v>
      </c>
      <c r="AB342" s="227">
        <f t="shared" si="339"/>
        <v>0.41666666666666669</v>
      </c>
      <c r="AC342" s="227">
        <f t="shared" si="340"/>
        <v>0.70833333333333337</v>
      </c>
      <c r="AD342" s="228" t="str">
        <f>IF(K342=1,IF(ISERROR(VLOOKUP(M342,データ!$A$3:$C$23,2,FALSE)),"",VLOOKUP(M342,データ!$A$3:$C$23,2,FALSE)),(IF(ISERROR(VLOOKUP(M342,データ!$A$3:$C$23,2,FALSE)),"",VLOOKUP(M342,データ!$A$3:$C$23,2,FALSE))))</f>
        <v/>
      </c>
    </row>
    <row r="343" spans="1:30">
      <c r="A343" s="1">
        <f>IF(AND(M343&gt;=VLOOKUP(M343,データ!$K$3:$O$6,1,TRUE),M343&lt;=VLOOKUP(M343,データ!$K$3:$O$6,2,TRUE)),VLOOKUP(M343,データ!$K$3:$O$6,5,TRUE),"")</f>
        <v>1</v>
      </c>
      <c r="B343" s="74">
        <f>IF(AND(M343&gt;=VLOOKUP(M343,データ!$K$3:$O$6,1,TRUE),M343&lt;=VLOOKUP(M343,データ!$K$3:$O$6,2,TRUE)),VLOOKUP(M343,データ!$K$3:$O$6,3,TRUE),"")</f>
        <v>0.41666666666666669</v>
      </c>
      <c r="C343" s="1">
        <f>IF(AND(M343&gt;=VLOOKUP(M343,データ!$K$11:$O$16,1,TRUE),M343&lt;=VLOOKUP(M343,データ!$K$11:$O$16,2,TRUE)),VLOOKUP(M343,データ!$K$11:$O$16,5,TRUE),0)</f>
        <v>0</v>
      </c>
      <c r="D343" s="74" t="str">
        <f>IF(AND(M343&gt;=VLOOKUP(M343,データ!$K$11:$O$16,1,TRUE),M343&lt;=VLOOKUP(M343,データ!$K$11:$O$16,2,TRUE)),VLOOKUP(M343,データ!$K$11:$O$16,3,TRUE),"")</f>
        <v/>
      </c>
      <c r="E343" s="74">
        <f t="shared" si="330"/>
        <v>0.41666666666666669</v>
      </c>
      <c r="F343" s="75">
        <f>VLOOKUP(E343,データ!$K$20:$O$24,5,FALSE)</f>
        <v>0</v>
      </c>
      <c r="G343" s="74">
        <f>IF(AND(M343&gt;=VLOOKUP(M343,データ!$K$3:$O$6,1,TRUE),M343&lt;=VLOOKUP(M343,データ!$K$3:$O$6,2,TRUE)),VLOOKUP(M343,データ!$K$3:$O$6,4,TRUE),"")</f>
        <v>0.70833333333333337</v>
      </c>
      <c r="H343" s="256">
        <f>INDEX(データ!L$21:N$24,MATCH(配置表!E343,データ!K$21:K$24,0),MATCH(配置表!G343,データ!L$20:N$20,0))</f>
        <v>1</v>
      </c>
      <c r="I343" s="52" t="str">
        <f>IF(ISERROR(VLOOKUP(M343,データ!$A$3:$C$20,3,FALSE)),"",VLOOKUP(M343,データ!$A$3:$C$20,3,FALSE))</f>
        <v/>
      </c>
      <c r="J343" s="52" t="str">
        <f t="shared" si="331"/>
        <v/>
      </c>
      <c r="K343" s="53">
        <f t="shared" si="344"/>
        <v>0</v>
      </c>
      <c r="L343" s="28" t="str">
        <f t="shared" si="332"/>
        <v/>
      </c>
      <c r="M343" s="9">
        <f t="shared" si="345"/>
        <v>46060</v>
      </c>
      <c r="N343" s="10" t="str">
        <f t="shared" si="333"/>
        <v>土</v>
      </c>
      <c r="O343" s="63" t="str">
        <f>IF(AND(M343&gt;=VLOOKUP(M343,データ!$E$3:$G$9,1,TRUE),M343&lt;=VLOOKUP(M343,データ!$E$3:$G$9,2,TRUE)),VLOOKUP(M343,データ!$E$3:$G$9,3,TRUE),"")</f>
        <v>冬　特別展</v>
      </c>
      <c r="P343" s="63" t="str">
        <f>IF(AND(M343&gt;=VLOOKUP(M343,データ!$E$14:$G$21,1,TRUE),M343&lt;=VLOOKUP(M343,データ!$E$14:$G$21,2,TRUE)),VLOOKUP(M343,データ!$E$14:$G$21,3,TRUE),"")</f>
        <v>テーマ展</v>
      </c>
      <c r="Q343" s="45" t="str">
        <f t="shared" si="334"/>
        <v>○</v>
      </c>
      <c r="R343" s="45"/>
      <c r="S343" s="33" t="str">
        <f t="shared" ref="S343:S344" si="346">IF(H343="閉","休",IF(K343="","",IF(OR(J343="土",J343="日",E343=1),IF(OR(K343="ダミー　特別展",K343="ダミー　特別展"),"◎",IF(OR(K343="夏　特別展",K343="秋　特別展",K343="春　特別展"),"○","")),"")))</f>
        <v/>
      </c>
      <c r="T343" s="45"/>
      <c r="U343" s="33" t="str">
        <f t="shared" si="342"/>
        <v>●</v>
      </c>
      <c r="V343" s="32"/>
      <c r="W343" s="33" t="str">
        <f>IF(P343="閉","休",IF(O343="","",IF(O343="冬　特別展",IF(OR(N343="土",N343="日",I343=1),"◎",""),"○")))</f>
        <v>◎</v>
      </c>
      <c r="X343" s="32"/>
      <c r="Y343" s="33" t="str">
        <f t="shared" si="337"/>
        <v>○</v>
      </c>
      <c r="Z343" s="32">
        <f>IF(L343="閉","",(IF(AND(M343&gt;=VLOOKUP(M343,データ!$E$3:$G$9,1,TRUE),M343&lt;=VLOOKUP(M343,データ!$E$3:$G$9,2,TRUE)),VLOOKUP(M343,データ!$E$3:$H$9,4,TRUE),0)+IF(AND(M343&gt;=VLOOKUP(M343,データ!$E$14:$G$21,1,TRUE),M343&lt;=VLOOKUP(M343,データ!$E$14:$G$21,2,TRUE)),VLOOKUP(M343,データ!$E$14:$H$21,4,TRUE),0)))</f>
        <v>5</v>
      </c>
      <c r="AA343" s="33" t="str">
        <f t="shared" si="338"/>
        <v>○</v>
      </c>
      <c r="AB343" s="227">
        <f t="shared" si="339"/>
        <v>0.41666666666666669</v>
      </c>
      <c r="AC343" s="227">
        <f t="shared" si="340"/>
        <v>0.70833333333333337</v>
      </c>
      <c r="AD343" s="228" t="str">
        <f>IF(K343=1,IF(ISERROR(VLOOKUP(M343,データ!$A$3:$C$23,2,FALSE)),"",VLOOKUP(M343,データ!$A$3:$C$23,2,FALSE)),(IF(ISERROR(VLOOKUP(M343,データ!$A$3:$C$23,2,FALSE)),"",VLOOKUP(M343,データ!$A$3:$C$23,2,FALSE))))</f>
        <v/>
      </c>
    </row>
    <row r="344" spans="1:30">
      <c r="A344" s="1">
        <f>IF(AND(M344&gt;=VLOOKUP(M344,データ!$K$3:$O$6,1,TRUE),M344&lt;=VLOOKUP(M344,データ!$K$3:$O$6,2,TRUE)),VLOOKUP(M344,データ!$K$3:$O$6,5,TRUE),"")</f>
        <v>1</v>
      </c>
      <c r="B344" s="74">
        <f>IF(AND(M344&gt;=VLOOKUP(M344,データ!$K$3:$O$6,1,TRUE),M344&lt;=VLOOKUP(M344,データ!$K$3:$O$6,2,TRUE)),VLOOKUP(M344,データ!$K$3:$O$6,3,TRUE),"")</f>
        <v>0.41666666666666669</v>
      </c>
      <c r="C344" s="1">
        <f>IF(AND(M344&gt;=VLOOKUP(M344,データ!$K$11:$O$16,1,TRUE),M344&lt;=VLOOKUP(M344,データ!$K$11:$O$16,2,TRUE)),VLOOKUP(M344,データ!$K$11:$O$16,5,TRUE),0)</f>
        <v>0</v>
      </c>
      <c r="D344" s="74" t="str">
        <f>IF(AND(M344&gt;=VLOOKUP(M344,データ!$K$11:$O$16,1,TRUE),M344&lt;=VLOOKUP(M344,データ!$K$11:$O$16,2,TRUE)),VLOOKUP(M344,データ!$K$11:$O$16,3,TRUE),"")</f>
        <v/>
      </c>
      <c r="E344" s="74">
        <f t="shared" si="330"/>
        <v>0.41666666666666669</v>
      </c>
      <c r="F344" s="75">
        <f>VLOOKUP(E344,データ!$K$20:$O$24,5,FALSE)</f>
        <v>0</v>
      </c>
      <c r="G344" s="74">
        <f>IF(AND(M344&gt;=VLOOKUP(M344,データ!$K$3:$O$6,1,TRUE),M344&lt;=VLOOKUP(M344,データ!$K$3:$O$6,2,TRUE)),VLOOKUP(M344,データ!$K$3:$O$6,4,TRUE),"")</f>
        <v>0.70833333333333337</v>
      </c>
      <c r="H344" s="256">
        <f>INDEX(データ!L$21:N$24,MATCH(配置表!E344,データ!K$21:K$24,0),MATCH(配置表!G344,データ!L$20:N$20,0))</f>
        <v>1</v>
      </c>
      <c r="I344" s="52" t="str">
        <f>IF(ISERROR(VLOOKUP(M344,データ!$A$3:$C$20,3,FALSE)),"",VLOOKUP(M344,データ!$A$3:$C$20,3,FALSE))</f>
        <v/>
      </c>
      <c r="J344" s="52" t="str">
        <f t="shared" si="331"/>
        <v/>
      </c>
      <c r="K344" s="53">
        <f t="shared" si="344"/>
        <v>0</v>
      </c>
      <c r="L344" s="28" t="str">
        <f t="shared" si="332"/>
        <v/>
      </c>
      <c r="M344" s="9">
        <f t="shared" si="345"/>
        <v>46061</v>
      </c>
      <c r="N344" s="10" t="str">
        <f t="shared" si="333"/>
        <v>日</v>
      </c>
      <c r="O344" s="63" t="str">
        <f>IF(AND(M344&gt;=VLOOKUP(M344,データ!$E$3:$G$9,1,TRUE),M344&lt;=VLOOKUP(M344,データ!$E$3:$G$9,2,TRUE)),VLOOKUP(M344,データ!$E$3:$G$9,3,TRUE),"")</f>
        <v>冬　特別展</v>
      </c>
      <c r="P344" s="63" t="str">
        <f>IF(AND(M344&gt;=VLOOKUP(M344,データ!$E$14:$G$21,1,TRUE),M344&lt;=VLOOKUP(M344,データ!$E$14:$G$21,2,TRUE)),VLOOKUP(M344,データ!$E$14:$G$21,3,TRUE),"")</f>
        <v>テーマ展</v>
      </c>
      <c r="Q344" s="45" t="str">
        <f t="shared" si="334"/>
        <v>○</v>
      </c>
      <c r="R344" s="45"/>
      <c r="S344" s="33" t="str">
        <f t="shared" si="346"/>
        <v/>
      </c>
      <c r="T344" s="45"/>
      <c r="U344" s="33" t="str">
        <f t="shared" si="342"/>
        <v>●</v>
      </c>
      <c r="V344" s="32"/>
      <c r="W344" s="33" t="str">
        <f>IF(P344="閉","休",IF(O344="","",IF(O344="冬　特別展",IF(OR(N344="土",N344="日",I344=1),"◎",""),"○")))</f>
        <v>◎</v>
      </c>
      <c r="X344" s="32"/>
      <c r="Y344" s="33" t="str">
        <f t="shared" si="337"/>
        <v>○</v>
      </c>
      <c r="Z344" s="32">
        <f>IF(L344="閉","",(IF(AND(M344&gt;=VLOOKUP(M344,データ!$E$3:$G$9,1,TRUE),M344&lt;=VLOOKUP(M344,データ!$E$3:$G$9,2,TRUE)),VLOOKUP(M344,データ!$E$3:$H$9,4,TRUE),0)+IF(AND(M344&gt;=VLOOKUP(M344,データ!$E$14:$G$21,1,TRUE),M344&lt;=VLOOKUP(M344,データ!$E$14:$G$21,2,TRUE)),VLOOKUP(M344,データ!$E$14:$H$21,4,TRUE),0)))</f>
        <v>5</v>
      </c>
      <c r="AA344" s="33" t="str">
        <f t="shared" si="338"/>
        <v>○</v>
      </c>
      <c r="AB344" s="227">
        <f t="shared" si="339"/>
        <v>0.41666666666666669</v>
      </c>
      <c r="AC344" s="227">
        <f t="shared" si="340"/>
        <v>0.70833333333333337</v>
      </c>
      <c r="AD344" s="228" t="str">
        <f>IF(K344=1,IF(ISERROR(VLOOKUP(M344,データ!$A$3:$C$23,2,FALSE)),"",VLOOKUP(M344,データ!$A$3:$C$23,2,FALSE)),(IF(ISERROR(VLOOKUP(M344,データ!$A$3:$C$23,2,FALSE)),"",VLOOKUP(M344,データ!$A$3:$C$23,2,FALSE))))</f>
        <v/>
      </c>
    </row>
    <row r="345" spans="1:30">
      <c r="A345" s="1">
        <f>IF(AND(M345&gt;=VLOOKUP(M345,データ!$K$3:$O$6,1,TRUE),M345&lt;=VLOOKUP(M345,データ!$K$3:$O$6,2,TRUE)),VLOOKUP(M345,データ!$K$3:$O$6,5,TRUE),"")</f>
        <v>1</v>
      </c>
      <c r="B345" s="74">
        <f>IF(AND(M345&gt;=VLOOKUP(M345,データ!$K$3:$O$6,1,TRUE),M345&lt;=VLOOKUP(M345,データ!$K$3:$O$6,2,TRUE)),VLOOKUP(M345,データ!$K$3:$O$6,3,TRUE),"")</f>
        <v>0.41666666666666669</v>
      </c>
      <c r="C345" s="1">
        <f>IF(AND(M345&gt;=VLOOKUP(M345,データ!$K$11:$O$16,1,TRUE),M345&lt;=VLOOKUP(M345,データ!$K$11:$O$16,2,TRUE)),VLOOKUP(M345,データ!$K$11:$O$16,5,TRUE),0)</f>
        <v>0</v>
      </c>
      <c r="D345" s="74" t="str">
        <f>IF(AND(M345&gt;=VLOOKUP(M345,データ!$K$11:$O$16,1,TRUE),M345&lt;=VLOOKUP(M345,データ!$K$11:$O$16,2,TRUE)),VLOOKUP(M345,データ!$K$11:$O$16,3,TRUE),"")</f>
        <v/>
      </c>
      <c r="E345" s="74">
        <f t="shared" si="330"/>
        <v>0.41666666666666669</v>
      </c>
      <c r="F345" s="75">
        <f>VLOOKUP(E345,データ!$K$20:$O$24,5,FALSE)</f>
        <v>0</v>
      </c>
      <c r="G345" s="74">
        <f>IF(AND(M345&gt;=VLOOKUP(M345,データ!$K$3:$O$6,1,TRUE),M345&lt;=VLOOKUP(M345,データ!$K$3:$O$6,2,TRUE)),VLOOKUP(M345,データ!$K$3:$O$6,4,TRUE),"")</f>
        <v>0.70833333333333337</v>
      </c>
      <c r="H345" s="256">
        <f>INDEX(データ!L$21:N$24,MATCH(配置表!E345,データ!K$21:K$24,0),MATCH(配置表!G345,データ!L$20:N$20,0))</f>
        <v>1</v>
      </c>
      <c r="I345" s="52" t="str">
        <f>IF(ISERROR(VLOOKUP(M345,データ!$A$3:$C$20,3,FALSE)),"",VLOOKUP(M345,データ!$A$3:$C$20,3,FALSE))</f>
        <v/>
      </c>
      <c r="J345" s="52">
        <f t="shared" si="331"/>
        <v>1</v>
      </c>
      <c r="K345" s="53">
        <f t="shared" si="344"/>
        <v>1</v>
      </c>
      <c r="L345" s="28" t="str">
        <f t="shared" si="332"/>
        <v>閉</v>
      </c>
      <c r="M345" s="9">
        <f t="shared" si="345"/>
        <v>46062</v>
      </c>
      <c r="N345" s="10" t="str">
        <f t="shared" si="333"/>
        <v>月</v>
      </c>
      <c r="O345" s="63" t="str">
        <f>IF(AND(M345&gt;=VLOOKUP(M345,データ!$E$3:$G$9,1,TRUE),M345&lt;=VLOOKUP(M345,データ!$E$3:$G$9,2,TRUE)),VLOOKUP(M345,データ!$E$3:$G$9,3,TRUE),"")</f>
        <v>冬　特別展</v>
      </c>
      <c r="P345" s="63" t="str">
        <f>IF(AND(M345&gt;=VLOOKUP(M345,データ!$E$14:$G$21,1,TRUE),M345&lt;=VLOOKUP(M345,データ!$E$14:$G$21,2,TRUE)),VLOOKUP(M345,データ!$E$14:$G$21,3,TRUE),"")</f>
        <v>テーマ展</v>
      </c>
      <c r="Q345" s="44" t="str">
        <f t="shared" si="334"/>
        <v>休</v>
      </c>
      <c r="R345" s="32"/>
      <c r="S345" s="33" t="str">
        <f t="shared" si="341"/>
        <v>休</v>
      </c>
      <c r="T345" s="32"/>
      <c r="U345" s="33" t="str">
        <f t="shared" si="342"/>
        <v>休</v>
      </c>
      <c r="V345" s="32"/>
      <c r="W345" s="33" t="str">
        <f t="shared" si="343"/>
        <v>休</v>
      </c>
      <c r="X345" s="32"/>
      <c r="Y345" s="33" t="str">
        <f t="shared" si="337"/>
        <v>休</v>
      </c>
      <c r="Z345" s="32" t="str">
        <f>IF(L345="閉","",(IF(AND(M345&gt;=VLOOKUP(M345,データ!$E$3:$G$9,1,TRUE),M345&lt;=VLOOKUP(M345,データ!$E$3:$G$9,2,TRUE)),VLOOKUP(M345,データ!$E$3:$H$9,4,TRUE),0)+IF(AND(M345&gt;=VLOOKUP(M345,データ!$E$14:$G$21,1,TRUE),M345&lt;=VLOOKUP(M345,データ!$E$14:$G$21,2,TRUE)),VLOOKUP(M345,データ!$E$14:$H$21,4,TRUE),0)))</f>
        <v/>
      </c>
      <c r="AA345" s="33" t="str">
        <f t="shared" si="338"/>
        <v>休</v>
      </c>
      <c r="AB345" s="227" t="str">
        <f t="shared" si="339"/>
        <v/>
      </c>
      <c r="AC345" s="227" t="str">
        <f t="shared" si="340"/>
        <v/>
      </c>
      <c r="AD345" s="228" t="str">
        <f>IF(K345=1,IF(ISERROR(VLOOKUP(M345,データ!$A$3:$C$23,2,FALSE)),"",VLOOKUP(M345,データ!$A$3:$C$23,2,FALSE)),(IF(ISERROR(VLOOKUP(M345,データ!$A$3:$C$23,2,FALSE)),"",VLOOKUP(M345,データ!$A$3:$C$23,2,FALSE))))</f>
        <v/>
      </c>
    </row>
    <row r="346" spans="1:30">
      <c r="A346" s="1">
        <f>IF(AND(M346&gt;=VLOOKUP(M346,データ!$K$3:$O$6,1,TRUE),M346&lt;=VLOOKUP(M346,データ!$K$3:$O$6,2,TRUE)),VLOOKUP(M346,データ!$K$3:$O$6,5,TRUE),"")</f>
        <v>1</v>
      </c>
      <c r="B346" s="74">
        <f>IF(AND(M346&gt;=VLOOKUP(M346,データ!$K$3:$O$6,1,TRUE),M346&lt;=VLOOKUP(M346,データ!$K$3:$O$6,2,TRUE)),VLOOKUP(M346,データ!$K$3:$O$6,3,TRUE),"")</f>
        <v>0.41666666666666669</v>
      </c>
      <c r="C346" s="1">
        <f>IF(AND(M346&gt;=VLOOKUP(M346,データ!$K$11:$O$16,1,TRUE),M346&lt;=VLOOKUP(M346,データ!$K$11:$O$16,2,TRUE)),VLOOKUP(M346,データ!$K$11:$O$16,5,TRUE),0)</f>
        <v>0</v>
      </c>
      <c r="D346" s="74" t="str">
        <f>IF(AND(M346&gt;=VLOOKUP(M346,データ!$K$11:$O$16,1,TRUE),M346&lt;=VLOOKUP(M346,データ!$K$11:$O$16,2,TRUE)),VLOOKUP(M346,データ!$K$11:$O$16,3,TRUE),"")</f>
        <v/>
      </c>
      <c r="E346" s="74">
        <f t="shared" si="330"/>
        <v>0.41666666666666669</v>
      </c>
      <c r="F346" s="75">
        <f>VLOOKUP(E346,データ!$K$20:$O$24,5,FALSE)</f>
        <v>0</v>
      </c>
      <c r="G346" s="74">
        <f>IF(AND(M346&gt;=VLOOKUP(M346,データ!$K$3:$O$6,1,TRUE),M346&lt;=VLOOKUP(M346,データ!$K$3:$O$6,2,TRUE)),VLOOKUP(M346,データ!$K$3:$O$6,4,TRUE),"")</f>
        <v>0.70833333333333337</v>
      </c>
      <c r="H346" s="256">
        <f>INDEX(データ!L$21:N$24,MATCH(配置表!E346,データ!K$21:K$24,0),MATCH(配置表!G346,データ!L$20:N$20,0))</f>
        <v>1</v>
      </c>
      <c r="I346" s="52" t="str">
        <f>IF(ISERROR(VLOOKUP(M346,データ!$A$3:$C$20,3,FALSE)),"",VLOOKUP(M346,データ!$A$3:$C$20,3,FALSE))</f>
        <v/>
      </c>
      <c r="J346" s="52" t="str">
        <f t="shared" si="331"/>
        <v/>
      </c>
      <c r="K346" s="53">
        <f t="shared" si="344"/>
        <v>0</v>
      </c>
      <c r="L346" s="28" t="str">
        <f t="shared" si="332"/>
        <v/>
      </c>
      <c r="M346" s="9">
        <f t="shared" si="345"/>
        <v>46063</v>
      </c>
      <c r="N346" s="10" t="str">
        <f t="shared" si="333"/>
        <v>火</v>
      </c>
      <c r="O346" s="63" t="str">
        <f>IF(AND(M346&gt;=VLOOKUP(M346,データ!$E$3:$G$9,1,TRUE),M346&lt;=VLOOKUP(M346,データ!$E$3:$G$9,2,TRUE)),VLOOKUP(M346,データ!$E$3:$G$9,3,TRUE),"")</f>
        <v>冬　特別展</v>
      </c>
      <c r="P346" s="63" t="str">
        <f>IF(AND(M346&gt;=VLOOKUP(M346,データ!$E$14:$G$21,1,TRUE),M346&lt;=VLOOKUP(M346,データ!$E$14:$G$21,2,TRUE)),VLOOKUP(M346,データ!$E$14:$G$21,3,TRUE),"")</f>
        <v>テーマ展</v>
      </c>
      <c r="Q346" s="45" t="str">
        <f t="shared" si="334"/>
        <v>○</v>
      </c>
      <c r="R346" s="45"/>
      <c r="S346" s="33" t="str">
        <f t="shared" si="341"/>
        <v/>
      </c>
      <c r="T346" s="10"/>
      <c r="U346" s="10" t="str">
        <f t="shared" si="342"/>
        <v>●</v>
      </c>
      <c r="V346" s="32"/>
      <c r="W346" s="33" t="str">
        <f t="shared" si="343"/>
        <v/>
      </c>
      <c r="X346" s="32"/>
      <c r="Y346" s="33" t="str">
        <f t="shared" si="337"/>
        <v>○</v>
      </c>
      <c r="Z346" s="32">
        <f>IF(L346="閉","",(IF(AND(M346&gt;=VLOOKUP(M346,データ!$E$3:$G$9,1,TRUE),M346&lt;=VLOOKUP(M346,データ!$E$3:$G$9,2,TRUE)),VLOOKUP(M346,データ!$E$3:$H$9,4,TRUE),0)+IF(AND(M346&gt;=VLOOKUP(M346,データ!$E$14:$G$21,1,TRUE),M346&lt;=VLOOKUP(M346,データ!$E$14:$G$21,2,TRUE)),VLOOKUP(M346,データ!$E$14:$H$21,4,TRUE),0)))</f>
        <v>5</v>
      </c>
      <c r="AA346" s="33" t="str">
        <f t="shared" si="338"/>
        <v>○</v>
      </c>
      <c r="AB346" s="227">
        <f t="shared" si="339"/>
        <v>0.41666666666666669</v>
      </c>
      <c r="AC346" s="227">
        <f t="shared" si="340"/>
        <v>0.70833333333333337</v>
      </c>
      <c r="AD346" s="228" t="str">
        <f>IF(K346=1,IF(ISERROR(VLOOKUP(M346,データ!$A$3:$C$23,2,FALSE)),"",VLOOKUP(M346,データ!$A$3:$C$23,2,FALSE)),(IF(ISERROR(VLOOKUP(M346,データ!$A$3:$C$23,2,FALSE)),"",VLOOKUP(M346,データ!$A$3:$C$23,2,FALSE))))</f>
        <v/>
      </c>
    </row>
    <row r="347" spans="1:30">
      <c r="A347" s="1">
        <f>IF(AND(M347&gt;=VLOOKUP(M347,データ!$K$3:$O$6,1,TRUE),M347&lt;=VLOOKUP(M347,データ!$K$3:$O$6,2,TRUE)),VLOOKUP(M347,データ!$K$3:$O$6,5,TRUE),"")</f>
        <v>1</v>
      </c>
      <c r="B347" s="74">
        <f>IF(AND(M347&gt;=VLOOKUP(M347,データ!$K$3:$O$6,1,TRUE),M347&lt;=VLOOKUP(M347,データ!$K$3:$O$6,2,TRUE)),VLOOKUP(M347,データ!$K$3:$O$6,3,TRUE),"")</f>
        <v>0.41666666666666669</v>
      </c>
      <c r="C347" s="1">
        <f>IF(AND(M347&gt;=VLOOKUP(M347,データ!$K$11:$O$16,1,TRUE),M347&lt;=VLOOKUP(M347,データ!$K$11:$O$16,2,TRUE)),VLOOKUP(M347,データ!$K$11:$O$16,5,TRUE),0)</f>
        <v>0</v>
      </c>
      <c r="D347" s="74" t="str">
        <f>IF(AND(M347&gt;=VLOOKUP(M347,データ!$K$11:$O$16,1,TRUE),M347&lt;=VLOOKUP(M347,データ!$K$11:$O$16,2,TRUE)),VLOOKUP(M347,データ!$K$11:$O$16,3,TRUE),"")</f>
        <v/>
      </c>
      <c r="E347" s="74">
        <f t="shared" si="330"/>
        <v>0.41666666666666669</v>
      </c>
      <c r="F347" s="75">
        <f>VLOOKUP(E347,データ!$K$20:$O$24,5,FALSE)</f>
        <v>0</v>
      </c>
      <c r="G347" s="74">
        <f>IF(AND(M347&gt;=VLOOKUP(M347,データ!$K$3:$O$6,1,TRUE),M347&lt;=VLOOKUP(M347,データ!$K$3:$O$6,2,TRUE)),VLOOKUP(M347,データ!$K$3:$O$6,4,TRUE),"")</f>
        <v>0.70833333333333337</v>
      </c>
      <c r="H347" s="256">
        <f>INDEX(データ!L$21:N$24,MATCH(配置表!E347,データ!K$21:K$24,0),MATCH(配置表!G347,データ!L$20:N$20,0))</f>
        <v>1</v>
      </c>
      <c r="I347" s="52">
        <f>IF(ISERROR(VLOOKUP(M347,データ!$A$3:$C$20,3,FALSE)),"",VLOOKUP(M347,データ!$A$3:$C$20,3,FALSE))</f>
        <v>1</v>
      </c>
      <c r="J347" s="52" t="str">
        <f t="shared" si="331"/>
        <v/>
      </c>
      <c r="K347" s="53">
        <f t="shared" si="344"/>
        <v>0</v>
      </c>
      <c r="L347" s="28" t="str">
        <f t="shared" si="332"/>
        <v/>
      </c>
      <c r="M347" s="9">
        <f t="shared" si="345"/>
        <v>46064</v>
      </c>
      <c r="N347" s="10" t="str">
        <f t="shared" si="333"/>
        <v>水</v>
      </c>
      <c r="O347" s="63" t="str">
        <f>IF(AND(M347&gt;=VLOOKUP(M347,データ!$E$3:$G$9,1,TRUE),M347&lt;=VLOOKUP(M347,データ!$E$3:$G$9,2,TRUE)),VLOOKUP(M347,データ!$E$3:$G$9,3,TRUE),"")</f>
        <v>冬　特別展</v>
      </c>
      <c r="P347" s="63" t="str">
        <f>IF(AND(M347&gt;=VLOOKUP(M347,データ!$E$14:$G$21,1,TRUE),M347&lt;=VLOOKUP(M347,データ!$E$14:$G$21,2,TRUE)),VLOOKUP(M347,データ!$E$14:$G$21,3,TRUE),"")</f>
        <v>テーマ展</v>
      </c>
      <c r="Q347" s="45" t="str">
        <f t="shared" si="334"/>
        <v>○</v>
      </c>
      <c r="R347" s="45"/>
      <c r="S347" s="33" t="str">
        <f t="shared" ref="S347" si="347">IF(H347="閉","休",IF(K347="","",IF(OR(J347="土",J347="日",E347=1),IF(OR(K347="ダミー　特別展",K347="ダミー　特別展"),"◎",IF(OR(K347="夏　特別展",K347="秋　特別展",K347="春　特別展"),"○","")),"")))</f>
        <v/>
      </c>
      <c r="T347" s="45"/>
      <c r="U347" s="33" t="str">
        <f t="shared" ref="U347" si="348">IF(L347="閉","休",IF(S347="","●","●"))</f>
        <v>●</v>
      </c>
      <c r="V347" s="32"/>
      <c r="W347" s="33" t="str">
        <f>IF(P347="閉","休",IF(O347="","",IF(O347="冬　特別展",IF(OR(N347="土",N347="日",I347=1),"◎",""),"○")))</f>
        <v>◎</v>
      </c>
      <c r="X347" s="32"/>
      <c r="Y347" s="33" t="str">
        <f t="shared" si="337"/>
        <v>○</v>
      </c>
      <c r="Z347" s="32">
        <f>IF(L347="閉","",(IF(AND(M347&gt;=VLOOKUP(M347,データ!$E$3:$G$9,1,TRUE),M347&lt;=VLOOKUP(M347,データ!$E$3:$G$9,2,TRUE)),VLOOKUP(M347,データ!$E$3:$H$9,4,TRUE),0)+IF(AND(M347&gt;=VLOOKUP(M347,データ!$E$14:$G$21,1,TRUE),M347&lt;=VLOOKUP(M347,データ!$E$14:$G$21,2,TRUE)),VLOOKUP(M347,データ!$E$14:$H$21,4,TRUE),0)))</f>
        <v>5</v>
      </c>
      <c r="AA347" s="33" t="str">
        <f t="shared" si="338"/>
        <v>○</v>
      </c>
      <c r="AB347" s="227">
        <f t="shared" si="339"/>
        <v>0.41666666666666669</v>
      </c>
      <c r="AC347" s="227">
        <f t="shared" si="340"/>
        <v>0.70833333333333337</v>
      </c>
      <c r="AD347" s="228" t="str">
        <f>IF(K347=1,IF(ISERROR(VLOOKUP(M347,データ!$A$3:$C$23,2,FALSE)),"",VLOOKUP(M347,データ!$A$3:$C$23,2,FALSE)),(IF(ISERROR(VLOOKUP(M347,データ!$A$3:$C$23,2,FALSE)),"",VLOOKUP(M347,データ!$A$3:$C$23,2,FALSE))))</f>
        <v>建国記念の日</v>
      </c>
    </row>
    <row r="348" spans="1:30">
      <c r="A348" s="1">
        <f>IF(AND(M348&gt;=VLOOKUP(M348,データ!$K$3:$O$6,1,TRUE),M348&lt;=VLOOKUP(M348,データ!$K$3:$O$6,2,TRUE)),VLOOKUP(M348,データ!$K$3:$O$6,5,TRUE),"")</f>
        <v>1</v>
      </c>
      <c r="B348" s="74">
        <f>IF(AND(M348&gt;=VLOOKUP(M348,データ!$K$3:$O$6,1,TRUE),M348&lt;=VLOOKUP(M348,データ!$K$3:$O$6,2,TRUE)),VLOOKUP(M348,データ!$K$3:$O$6,3,TRUE),"")</f>
        <v>0.41666666666666669</v>
      </c>
      <c r="C348" s="1">
        <f>IF(AND(M348&gt;=VLOOKUP(M348,データ!$K$11:$O$16,1,TRUE),M348&lt;=VLOOKUP(M348,データ!$K$11:$O$16,2,TRUE)),VLOOKUP(M348,データ!$K$11:$O$16,5,TRUE),0)</f>
        <v>0</v>
      </c>
      <c r="D348" s="74" t="str">
        <f>IF(AND(M348&gt;=VLOOKUP(M348,データ!$K$11:$O$16,1,TRUE),M348&lt;=VLOOKUP(M348,データ!$K$11:$O$16,2,TRUE)),VLOOKUP(M348,データ!$K$11:$O$16,3,TRUE),"")</f>
        <v/>
      </c>
      <c r="E348" s="74">
        <f t="shared" si="330"/>
        <v>0.41666666666666669</v>
      </c>
      <c r="F348" s="75">
        <f>VLOOKUP(E348,データ!$K$20:$O$24,5,FALSE)</f>
        <v>0</v>
      </c>
      <c r="G348" s="74">
        <f>IF(AND(M348&gt;=VLOOKUP(M348,データ!$K$3:$O$6,1,TRUE),M348&lt;=VLOOKUP(M348,データ!$K$3:$O$6,2,TRUE)),VLOOKUP(M348,データ!$K$3:$O$6,4,TRUE),"")</f>
        <v>0.70833333333333337</v>
      </c>
      <c r="H348" s="256">
        <f>INDEX(データ!L$21:N$24,MATCH(配置表!E348,データ!K$21:K$24,0),MATCH(配置表!G348,データ!L$20:N$20,0))</f>
        <v>1</v>
      </c>
      <c r="I348" s="52" t="str">
        <f>IF(ISERROR(VLOOKUP(M348,データ!$A$3:$C$20,3,FALSE)),"",VLOOKUP(M348,データ!$A$3:$C$20,3,FALSE))</f>
        <v/>
      </c>
      <c r="J348" s="52" t="str">
        <f t="shared" si="331"/>
        <v/>
      </c>
      <c r="K348" s="53">
        <f t="shared" si="344"/>
        <v>0</v>
      </c>
      <c r="L348" s="28" t="str">
        <f t="shared" si="332"/>
        <v/>
      </c>
      <c r="M348" s="9">
        <f t="shared" si="345"/>
        <v>46065</v>
      </c>
      <c r="N348" s="10" t="str">
        <f t="shared" si="333"/>
        <v>木</v>
      </c>
      <c r="O348" s="63" t="str">
        <f>IF(AND(M348&gt;=VLOOKUP(M348,データ!$E$3:$G$9,1,TRUE),M348&lt;=VLOOKUP(M348,データ!$E$3:$G$9,2,TRUE)),VLOOKUP(M348,データ!$E$3:$G$9,3,TRUE),"")</f>
        <v>冬　特別展</v>
      </c>
      <c r="P348" s="63" t="str">
        <f>IF(AND(M348&gt;=VLOOKUP(M348,データ!$E$14:$G$21,1,TRUE),M348&lt;=VLOOKUP(M348,データ!$E$14:$G$21,2,TRUE)),VLOOKUP(M348,データ!$E$14:$G$21,3,TRUE),"")</f>
        <v>テーマ展</v>
      </c>
      <c r="Q348" s="45" t="str">
        <f t="shared" si="334"/>
        <v>○</v>
      </c>
      <c r="R348" s="45"/>
      <c r="S348" s="33" t="str">
        <f t="shared" si="341"/>
        <v/>
      </c>
      <c r="T348" s="10"/>
      <c r="U348" s="10" t="str">
        <f t="shared" si="342"/>
        <v>●</v>
      </c>
      <c r="V348" s="32"/>
      <c r="W348" s="33" t="str">
        <f t="shared" si="343"/>
        <v/>
      </c>
      <c r="X348" s="32"/>
      <c r="Y348" s="33" t="str">
        <f t="shared" si="337"/>
        <v>○</v>
      </c>
      <c r="Z348" s="32">
        <f>IF(L348="閉","",(IF(AND(M348&gt;=VLOOKUP(M348,データ!$E$3:$G$9,1,TRUE),M348&lt;=VLOOKUP(M348,データ!$E$3:$G$9,2,TRUE)),VLOOKUP(M348,データ!$E$3:$H$9,4,TRUE),0)+IF(AND(M348&gt;=VLOOKUP(M348,データ!$E$14:$G$21,1,TRUE),M348&lt;=VLOOKUP(M348,データ!$E$14:$G$21,2,TRUE)),VLOOKUP(M348,データ!$E$14:$H$21,4,TRUE),0)))</f>
        <v>5</v>
      </c>
      <c r="AA348" s="33" t="str">
        <f t="shared" si="338"/>
        <v>○</v>
      </c>
      <c r="AB348" s="227">
        <f t="shared" si="339"/>
        <v>0.41666666666666669</v>
      </c>
      <c r="AC348" s="227">
        <f t="shared" si="340"/>
        <v>0.70833333333333337</v>
      </c>
      <c r="AD348" s="228" t="str">
        <f>IF(K348=1,IF(ISERROR(VLOOKUP(M348,データ!$A$3:$C$23,2,FALSE)),"",VLOOKUP(M348,データ!$A$3:$C$23,2,FALSE)),(IF(ISERROR(VLOOKUP(M348,データ!$A$3:$C$23,2,FALSE)),"",VLOOKUP(M348,データ!$A$3:$C$23,2,FALSE))))</f>
        <v/>
      </c>
    </row>
    <row r="349" spans="1:30">
      <c r="A349" s="1">
        <f>IF(AND(M349&gt;=VLOOKUP(M349,データ!$K$3:$O$6,1,TRUE),M349&lt;=VLOOKUP(M349,データ!$K$3:$O$6,2,TRUE)),VLOOKUP(M349,データ!$K$3:$O$6,5,TRUE),"")</f>
        <v>1</v>
      </c>
      <c r="B349" s="74">
        <f>IF(AND(M349&gt;=VLOOKUP(M349,データ!$K$3:$O$6,1,TRUE),M349&lt;=VLOOKUP(M349,データ!$K$3:$O$6,2,TRUE)),VLOOKUP(M349,データ!$K$3:$O$6,3,TRUE),"")</f>
        <v>0.41666666666666669</v>
      </c>
      <c r="C349" s="1">
        <f>IF(AND(M349&gt;=VLOOKUP(M349,データ!$K$11:$O$16,1,TRUE),M349&lt;=VLOOKUP(M349,データ!$K$11:$O$16,2,TRUE)),VLOOKUP(M349,データ!$K$11:$O$16,5,TRUE),0)</f>
        <v>0</v>
      </c>
      <c r="D349" s="74" t="str">
        <f>IF(AND(M349&gt;=VLOOKUP(M349,データ!$K$11:$O$16,1,TRUE),M349&lt;=VLOOKUP(M349,データ!$K$11:$O$16,2,TRUE)),VLOOKUP(M349,データ!$K$11:$O$16,3,TRUE),"")</f>
        <v/>
      </c>
      <c r="E349" s="74">
        <f t="shared" si="330"/>
        <v>0.41666666666666669</v>
      </c>
      <c r="F349" s="75">
        <f>VLOOKUP(E349,データ!$K$20:$O$24,5,FALSE)</f>
        <v>0</v>
      </c>
      <c r="G349" s="74">
        <f>IF(AND(M349&gt;=VLOOKUP(M349,データ!$K$3:$O$6,1,TRUE),M349&lt;=VLOOKUP(M349,データ!$K$3:$O$6,2,TRUE)),VLOOKUP(M349,データ!$K$3:$O$6,4,TRUE),"")</f>
        <v>0.70833333333333337</v>
      </c>
      <c r="H349" s="256">
        <f>INDEX(データ!L$21:N$24,MATCH(配置表!E349,データ!K$21:K$24,0),MATCH(配置表!G349,データ!L$20:N$20,0))</f>
        <v>1</v>
      </c>
      <c r="I349" s="52" t="str">
        <f>IF(ISERROR(VLOOKUP(M349,データ!$A$3:$C$20,3,FALSE)),"",VLOOKUP(M349,データ!$A$3:$C$20,3,FALSE))</f>
        <v/>
      </c>
      <c r="J349" s="52" t="str">
        <f t="shared" si="331"/>
        <v/>
      </c>
      <c r="K349" s="53">
        <f t="shared" si="344"/>
        <v>0</v>
      </c>
      <c r="L349" s="28" t="str">
        <f t="shared" si="332"/>
        <v/>
      </c>
      <c r="M349" s="9">
        <f t="shared" si="345"/>
        <v>46066</v>
      </c>
      <c r="N349" s="10" t="str">
        <f t="shared" si="333"/>
        <v>金</v>
      </c>
      <c r="O349" s="63" t="str">
        <f>IF(AND(M349&gt;=VLOOKUP(M349,データ!$E$3:$G$9,1,TRUE),M349&lt;=VLOOKUP(M349,データ!$E$3:$G$9,2,TRUE)),VLOOKUP(M349,データ!$E$3:$G$9,3,TRUE),"")</f>
        <v>冬　特別展</v>
      </c>
      <c r="P349" s="63" t="str">
        <f>IF(AND(M349&gt;=VLOOKUP(M349,データ!$E$14:$G$21,1,TRUE),M349&lt;=VLOOKUP(M349,データ!$E$14:$G$21,2,TRUE)),VLOOKUP(M349,データ!$E$14:$G$21,3,TRUE),"")</f>
        <v>テーマ展</v>
      </c>
      <c r="Q349" s="45" t="str">
        <f t="shared" si="334"/>
        <v>○</v>
      </c>
      <c r="R349" s="45"/>
      <c r="S349" s="33" t="str">
        <f t="shared" si="341"/>
        <v/>
      </c>
      <c r="T349" s="10"/>
      <c r="U349" s="10" t="str">
        <f t="shared" si="342"/>
        <v>●</v>
      </c>
      <c r="V349" s="32"/>
      <c r="W349" s="33" t="str">
        <f t="shared" si="343"/>
        <v/>
      </c>
      <c r="X349" s="32"/>
      <c r="Y349" s="33" t="str">
        <f t="shared" si="337"/>
        <v>○</v>
      </c>
      <c r="Z349" s="32">
        <f>IF(L349="閉","",(IF(AND(M349&gt;=VLOOKUP(M349,データ!$E$3:$G$9,1,TRUE),M349&lt;=VLOOKUP(M349,データ!$E$3:$G$9,2,TRUE)),VLOOKUP(M349,データ!$E$3:$H$9,4,TRUE),0)+IF(AND(M349&gt;=VLOOKUP(M349,データ!$E$14:$G$21,1,TRUE),M349&lt;=VLOOKUP(M349,データ!$E$14:$G$21,2,TRUE)),VLOOKUP(M349,データ!$E$14:$H$21,4,TRUE),0)))</f>
        <v>5</v>
      </c>
      <c r="AA349" s="33" t="str">
        <f t="shared" si="338"/>
        <v>○</v>
      </c>
      <c r="AB349" s="227">
        <f t="shared" si="339"/>
        <v>0.41666666666666669</v>
      </c>
      <c r="AC349" s="227">
        <f t="shared" si="340"/>
        <v>0.70833333333333337</v>
      </c>
      <c r="AD349" s="228" t="str">
        <f>IF(K349=1,IF(ISERROR(VLOOKUP(M349,データ!$A$3:$C$23,2,FALSE)),"",VLOOKUP(M349,データ!$A$3:$C$23,2,FALSE)),(IF(ISERROR(VLOOKUP(M349,データ!$A$3:$C$23,2,FALSE)),"",VLOOKUP(M349,データ!$A$3:$C$23,2,FALSE))))</f>
        <v/>
      </c>
    </row>
    <row r="350" spans="1:30">
      <c r="A350" s="1">
        <f>IF(AND(M350&gt;=VLOOKUP(M350,データ!$K$3:$O$6,1,TRUE),M350&lt;=VLOOKUP(M350,データ!$K$3:$O$6,2,TRUE)),VLOOKUP(M350,データ!$K$3:$O$6,5,TRUE),"")</f>
        <v>1</v>
      </c>
      <c r="B350" s="74">
        <f>IF(AND(M350&gt;=VLOOKUP(M350,データ!$K$3:$O$6,1,TRUE),M350&lt;=VLOOKUP(M350,データ!$K$3:$O$6,2,TRUE)),VLOOKUP(M350,データ!$K$3:$O$6,3,TRUE),"")</f>
        <v>0.41666666666666669</v>
      </c>
      <c r="C350" s="1">
        <f>IF(AND(M350&gt;=VLOOKUP(M350,データ!$K$11:$O$16,1,TRUE),M350&lt;=VLOOKUP(M350,データ!$K$11:$O$16,2,TRUE)),VLOOKUP(M350,データ!$K$11:$O$16,5,TRUE),0)</f>
        <v>0</v>
      </c>
      <c r="D350" s="74" t="str">
        <f>IF(AND(M350&gt;=VLOOKUP(M350,データ!$K$11:$O$16,1,TRUE),M350&lt;=VLOOKUP(M350,データ!$K$11:$O$16,2,TRUE)),VLOOKUP(M350,データ!$K$11:$O$16,3,TRUE),"")</f>
        <v/>
      </c>
      <c r="E350" s="74">
        <f t="shared" si="330"/>
        <v>0.41666666666666669</v>
      </c>
      <c r="F350" s="75">
        <f>VLOOKUP(E350,データ!$K$20:$O$24,5,FALSE)</f>
        <v>0</v>
      </c>
      <c r="G350" s="74">
        <f>IF(AND(M350&gt;=VLOOKUP(M350,データ!$K$3:$O$6,1,TRUE),M350&lt;=VLOOKUP(M350,データ!$K$3:$O$6,2,TRUE)),VLOOKUP(M350,データ!$K$3:$O$6,4,TRUE),"")</f>
        <v>0.70833333333333337</v>
      </c>
      <c r="H350" s="256">
        <f>INDEX(データ!L$21:N$24,MATCH(配置表!E350,データ!K$21:K$24,0),MATCH(配置表!G350,データ!L$20:N$20,0))</f>
        <v>1</v>
      </c>
      <c r="I350" s="52" t="str">
        <f>IF(ISERROR(VLOOKUP(M350,データ!$A$3:$C$20,3,FALSE)),"",VLOOKUP(M350,データ!$A$3:$C$20,3,FALSE))</f>
        <v/>
      </c>
      <c r="J350" s="52" t="str">
        <f t="shared" si="331"/>
        <v/>
      </c>
      <c r="K350" s="53">
        <f t="shared" si="344"/>
        <v>0</v>
      </c>
      <c r="L350" s="28" t="str">
        <f t="shared" si="332"/>
        <v/>
      </c>
      <c r="M350" s="9">
        <f t="shared" si="345"/>
        <v>46067</v>
      </c>
      <c r="N350" s="10" t="str">
        <f t="shared" si="333"/>
        <v>土</v>
      </c>
      <c r="O350" s="63" t="str">
        <f>IF(AND(M350&gt;=VLOOKUP(M350,データ!$E$3:$G$9,1,TRUE),M350&lt;=VLOOKUP(M350,データ!$E$3:$G$9,2,TRUE)),VLOOKUP(M350,データ!$E$3:$G$9,3,TRUE),"")</f>
        <v>冬　特別展</v>
      </c>
      <c r="P350" s="63" t="str">
        <f>IF(AND(M350&gt;=VLOOKUP(M350,データ!$E$14:$G$21,1,TRUE),M350&lt;=VLOOKUP(M350,データ!$E$14:$G$21,2,TRUE)),VLOOKUP(M350,データ!$E$14:$G$21,3,TRUE),"")</f>
        <v>テーマ展</v>
      </c>
      <c r="Q350" s="45" t="str">
        <f t="shared" si="334"/>
        <v>○</v>
      </c>
      <c r="R350" s="45"/>
      <c r="S350" s="33" t="str">
        <f t="shared" ref="S350:S351" si="349">IF(H350="閉","休",IF(K350="","",IF(OR(J350="土",J350="日",E350=1),IF(OR(K350="ダミー　特別展",K350="ダミー　特別展"),"◎",IF(OR(K350="夏　特別展",K350="秋　特別展",K350="春　特別展"),"○","")),"")))</f>
        <v/>
      </c>
      <c r="T350" s="45"/>
      <c r="U350" s="33" t="str">
        <f t="shared" ref="U350:U351" si="350">IF(L350="閉","休",IF(S350="","●","●"))</f>
        <v>●</v>
      </c>
      <c r="V350" s="32"/>
      <c r="W350" s="33" t="str">
        <f>IF(P350="閉","休",IF(O350="","",IF(O350="冬　特別展",IF(OR(N350="土",N350="日",I350=1),"◎",""),"○")))</f>
        <v>◎</v>
      </c>
      <c r="X350" s="32"/>
      <c r="Y350" s="33" t="str">
        <f t="shared" si="337"/>
        <v>○</v>
      </c>
      <c r="Z350" s="32">
        <f>IF(L350="閉","",(IF(AND(M350&gt;=VLOOKUP(M350,データ!$E$3:$G$9,1,TRUE),M350&lt;=VLOOKUP(M350,データ!$E$3:$G$9,2,TRUE)),VLOOKUP(M350,データ!$E$3:$H$9,4,TRUE),0)+IF(AND(M350&gt;=VLOOKUP(M350,データ!$E$14:$G$21,1,TRUE),M350&lt;=VLOOKUP(M350,データ!$E$14:$G$21,2,TRUE)),VLOOKUP(M350,データ!$E$14:$H$21,4,TRUE),0)))</f>
        <v>5</v>
      </c>
      <c r="AA350" s="33" t="str">
        <f t="shared" si="338"/>
        <v>○</v>
      </c>
      <c r="AB350" s="227">
        <f t="shared" si="339"/>
        <v>0.41666666666666669</v>
      </c>
      <c r="AC350" s="227">
        <f t="shared" si="340"/>
        <v>0.70833333333333337</v>
      </c>
      <c r="AD350" s="228" t="str">
        <f>IF(K350=1,IF(ISERROR(VLOOKUP(M350,データ!$A$3:$C$23,2,FALSE)),"",VLOOKUP(M350,データ!$A$3:$C$23,2,FALSE)),(IF(ISERROR(VLOOKUP(M350,データ!$A$3:$C$23,2,FALSE)),"",VLOOKUP(M350,データ!$A$3:$C$23,2,FALSE))))</f>
        <v/>
      </c>
    </row>
    <row r="351" spans="1:30">
      <c r="A351" s="1">
        <f>IF(AND(M351&gt;=VLOOKUP(M351,データ!$K$3:$O$6,1,TRUE),M351&lt;=VLOOKUP(M351,データ!$K$3:$O$6,2,TRUE)),VLOOKUP(M351,データ!$K$3:$O$6,5,TRUE),"")</f>
        <v>1</v>
      </c>
      <c r="B351" s="74">
        <f>IF(AND(M351&gt;=VLOOKUP(M351,データ!$K$3:$O$6,1,TRUE),M351&lt;=VLOOKUP(M351,データ!$K$3:$O$6,2,TRUE)),VLOOKUP(M351,データ!$K$3:$O$6,3,TRUE),"")</f>
        <v>0.41666666666666669</v>
      </c>
      <c r="C351" s="1">
        <f>IF(AND(M351&gt;=VLOOKUP(M351,データ!$K$11:$O$16,1,TRUE),M351&lt;=VLOOKUP(M351,データ!$K$11:$O$16,2,TRUE)),VLOOKUP(M351,データ!$K$11:$O$16,5,TRUE),0)</f>
        <v>0</v>
      </c>
      <c r="D351" s="74" t="str">
        <f>IF(AND(M351&gt;=VLOOKUP(M351,データ!$K$11:$O$16,1,TRUE),M351&lt;=VLOOKUP(M351,データ!$K$11:$O$16,2,TRUE)),VLOOKUP(M351,データ!$K$11:$O$16,3,TRUE),"")</f>
        <v/>
      </c>
      <c r="E351" s="74">
        <f t="shared" si="330"/>
        <v>0.41666666666666669</v>
      </c>
      <c r="F351" s="75">
        <f>VLOOKUP(E351,データ!$K$20:$O$24,5,FALSE)</f>
        <v>0</v>
      </c>
      <c r="G351" s="74">
        <f>IF(AND(M351&gt;=VLOOKUP(M351,データ!$K$3:$O$6,1,TRUE),M351&lt;=VLOOKUP(M351,データ!$K$3:$O$6,2,TRUE)),VLOOKUP(M351,データ!$K$3:$O$6,4,TRUE),"")</f>
        <v>0.70833333333333337</v>
      </c>
      <c r="H351" s="256">
        <f>INDEX(データ!L$21:N$24,MATCH(配置表!E351,データ!K$21:K$24,0),MATCH(配置表!G351,データ!L$20:N$20,0))</f>
        <v>1</v>
      </c>
      <c r="I351" s="52" t="str">
        <f>IF(ISERROR(VLOOKUP(M351,データ!$A$3:$C$20,3,FALSE)),"",VLOOKUP(M351,データ!$A$3:$C$20,3,FALSE))</f>
        <v/>
      </c>
      <c r="J351" s="52" t="str">
        <f t="shared" si="331"/>
        <v/>
      </c>
      <c r="K351" s="53">
        <f t="shared" si="344"/>
        <v>0</v>
      </c>
      <c r="L351" s="28" t="str">
        <f t="shared" si="332"/>
        <v/>
      </c>
      <c r="M351" s="9">
        <f t="shared" si="345"/>
        <v>46068</v>
      </c>
      <c r="N351" s="10" t="str">
        <f t="shared" si="333"/>
        <v>日</v>
      </c>
      <c r="O351" s="63" t="str">
        <f>IF(AND(M351&gt;=VLOOKUP(M351,データ!$E$3:$G$9,1,TRUE),M351&lt;=VLOOKUP(M351,データ!$E$3:$G$9,2,TRUE)),VLOOKUP(M351,データ!$E$3:$G$9,3,TRUE),"")</f>
        <v>冬　特別展</v>
      </c>
      <c r="P351" s="63" t="str">
        <f>IF(AND(M351&gt;=VLOOKUP(M351,データ!$E$14:$G$21,1,TRUE),M351&lt;=VLOOKUP(M351,データ!$E$14:$G$21,2,TRUE)),VLOOKUP(M351,データ!$E$14:$G$21,3,TRUE),"")</f>
        <v>テーマ展</v>
      </c>
      <c r="Q351" s="45" t="str">
        <f t="shared" si="334"/>
        <v>○</v>
      </c>
      <c r="R351" s="45"/>
      <c r="S351" s="33" t="str">
        <f t="shared" si="349"/>
        <v/>
      </c>
      <c r="T351" s="45"/>
      <c r="U351" s="33" t="str">
        <f t="shared" si="350"/>
        <v>●</v>
      </c>
      <c r="V351" s="32"/>
      <c r="W351" s="33" t="str">
        <f>IF(P351="閉","休",IF(O351="","",IF(O351="冬　特別展",IF(OR(N351="土",N351="日",I351=1),"◎",""),"○")))</f>
        <v>◎</v>
      </c>
      <c r="X351" s="32"/>
      <c r="Y351" s="33" t="str">
        <f t="shared" si="337"/>
        <v>○</v>
      </c>
      <c r="Z351" s="32">
        <f>IF(L351="閉","",(IF(AND(M351&gt;=VLOOKUP(M351,データ!$E$3:$G$9,1,TRUE),M351&lt;=VLOOKUP(M351,データ!$E$3:$G$9,2,TRUE)),VLOOKUP(M351,データ!$E$3:$H$9,4,TRUE),0)+IF(AND(M351&gt;=VLOOKUP(M351,データ!$E$14:$G$21,1,TRUE),M351&lt;=VLOOKUP(M351,データ!$E$14:$G$21,2,TRUE)),VLOOKUP(M351,データ!$E$14:$H$21,4,TRUE),0)))</f>
        <v>5</v>
      </c>
      <c r="AA351" s="33" t="str">
        <f t="shared" si="338"/>
        <v>○</v>
      </c>
      <c r="AB351" s="227">
        <f t="shared" si="339"/>
        <v>0.41666666666666669</v>
      </c>
      <c r="AC351" s="227">
        <f t="shared" si="340"/>
        <v>0.70833333333333337</v>
      </c>
      <c r="AD351" s="228" t="str">
        <f>IF(K351=1,IF(ISERROR(VLOOKUP(M351,データ!$A$3:$C$23,2,FALSE)),"",VLOOKUP(M351,データ!$A$3:$C$23,2,FALSE)),(IF(ISERROR(VLOOKUP(M351,データ!$A$3:$C$23,2,FALSE)),"",VLOOKUP(M351,データ!$A$3:$C$23,2,FALSE))))</f>
        <v/>
      </c>
    </row>
    <row r="352" spans="1:30">
      <c r="A352" s="1">
        <f>IF(AND(M352&gt;=VLOOKUP(M352,データ!$K$3:$O$6,1,TRUE),M352&lt;=VLOOKUP(M352,データ!$K$3:$O$6,2,TRUE)),VLOOKUP(M352,データ!$K$3:$O$6,5,TRUE),"")</f>
        <v>1</v>
      </c>
      <c r="B352" s="74">
        <f>IF(AND(M352&gt;=VLOOKUP(M352,データ!$K$3:$O$6,1,TRUE),M352&lt;=VLOOKUP(M352,データ!$K$3:$O$6,2,TRUE)),VLOOKUP(M352,データ!$K$3:$O$6,3,TRUE),"")</f>
        <v>0.41666666666666669</v>
      </c>
      <c r="C352" s="1">
        <f>IF(AND(M352&gt;=VLOOKUP(M352,データ!$K$11:$O$16,1,TRUE),M352&lt;=VLOOKUP(M352,データ!$K$11:$O$16,2,TRUE)),VLOOKUP(M352,データ!$K$11:$O$16,5,TRUE),0)</f>
        <v>0</v>
      </c>
      <c r="D352" s="74" t="str">
        <f>IF(AND(M352&gt;=VLOOKUP(M352,データ!$K$11:$O$16,1,TRUE),M352&lt;=VLOOKUP(M352,データ!$K$11:$O$16,2,TRUE)),VLOOKUP(M352,データ!$K$11:$O$16,3,TRUE),"")</f>
        <v/>
      </c>
      <c r="E352" s="74">
        <f t="shared" si="330"/>
        <v>0.41666666666666669</v>
      </c>
      <c r="F352" s="75">
        <f>VLOOKUP(E352,データ!$K$20:$O$24,5,FALSE)</f>
        <v>0</v>
      </c>
      <c r="G352" s="74">
        <f>IF(AND(M352&gt;=VLOOKUP(M352,データ!$K$3:$O$6,1,TRUE),M352&lt;=VLOOKUP(M352,データ!$K$3:$O$6,2,TRUE)),VLOOKUP(M352,データ!$K$3:$O$6,4,TRUE),"")</f>
        <v>0.70833333333333337</v>
      </c>
      <c r="H352" s="256">
        <f>INDEX(データ!L$21:N$24,MATCH(配置表!E352,データ!K$21:K$24,0),MATCH(配置表!G352,データ!L$20:N$20,0))</f>
        <v>1</v>
      </c>
      <c r="I352" s="52" t="str">
        <f>IF(ISERROR(VLOOKUP(M352,データ!$A$3:$C$20,3,FALSE)),"",VLOOKUP(M352,データ!$A$3:$C$20,3,FALSE))</f>
        <v/>
      </c>
      <c r="J352" s="52">
        <f t="shared" si="331"/>
        <v>1</v>
      </c>
      <c r="K352" s="53">
        <f t="shared" si="344"/>
        <v>1</v>
      </c>
      <c r="L352" s="28" t="str">
        <f t="shared" si="332"/>
        <v>閉</v>
      </c>
      <c r="M352" s="9">
        <f t="shared" si="345"/>
        <v>46069</v>
      </c>
      <c r="N352" s="10" t="str">
        <f t="shared" si="333"/>
        <v>月</v>
      </c>
      <c r="O352" s="63" t="str">
        <f>IF(AND(M352&gt;=VLOOKUP(M352,データ!$E$3:$G$9,1,TRUE),M352&lt;=VLOOKUP(M352,データ!$E$3:$G$9,2,TRUE)),VLOOKUP(M352,データ!$E$3:$G$9,3,TRUE),"")</f>
        <v>冬　特別展</v>
      </c>
      <c r="P352" s="63" t="str">
        <f>IF(AND(M352&gt;=VLOOKUP(M352,データ!$E$14:$G$21,1,TRUE),M352&lt;=VLOOKUP(M352,データ!$E$14:$G$21,2,TRUE)),VLOOKUP(M352,データ!$E$14:$G$21,3,TRUE),"")</f>
        <v>テーマ展</v>
      </c>
      <c r="Q352" s="44" t="str">
        <f t="shared" si="334"/>
        <v>休</v>
      </c>
      <c r="R352" s="32"/>
      <c r="S352" s="33" t="str">
        <f t="shared" si="341"/>
        <v>休</v>
      </c>
      <c r="T352" s="32"/>
      <c r="U352" s="33" t="str">
        <f t="shared" si="342"/>
        <v>休</v>
      </c>
      <c r="V352" s="32"/>
      <c r="W352" s="33" t="str">
        <f t="shared" si="343"/>
        <v>休</v>
      </c>
      <c r="X352" s="32"/>
      <c r="Y352" s="33" t="str">
        <f t="shared" si="337"/>
        <v>休</v>
      </c>
      <c r="Z352" s="32" t="str">
        <f>IF(L352="閉","",(IF(AND(M352&gt;=VLOOKUP(M352,データ!$E$3:$G$9,1,TRUE),M352&lt;=VLOOKUP(M352,データ!$E$3:$G$9,2,TRUE)),VLOOKUP(M352,データ!$E$3:$H$9,4,TRUE),0)+IF(AND(M352&gt;=VLOOKUP(M352,データ!$E$14:$G$21,1,TRUE),M352&lt;=VLOOKUP(M352,データ!$E$14:$G$21,2,TRUE)),VLOOKUP(M352,データ!$E$14:$H$21,4,TRUE),0)))</f>
        <v/>
      </c>
      <c r="AA352" s="33" t="str">
        <f t="shared" si="338"/>
        <v>休</v>
      </c>
      <c r="AB352" s="227" t="str">
        <f t="shared" si="339"/>
        <v/>
      </c>
      <c r="AC352" s="227" t="str">
        <f t="shared" si="340"/>
        <v/>
      </c>
      <c r="AD352" s="228" t="str">
        <f>IF(K352=1,IF(ISERROR(VLOOKUP(M352,データ!$A$3:$C$23,2,FALSE)),"",VLOOKUP(M352,データ!$A$3:$C$23,2,FALSE)),(IF(ISERROR(VLOOKUP(M352,データ!$A$3:$C$23,2,FALSE)),"",VLOOKUP(M352,データ!$A$3:$C$23,2,FALSE))))</f>
        <v/>
      </c>
    </row>
    <row r="353" spans="1:30">
      <c r="A353" s="1">
        <f>IF(AND(M353&gt;=VLOOKUP(M353,データ!$K$3:$O$6,1,TRUE),M353&lt;=VLOOKUP(M353,データ!$K$3:$O$6,2,TRUE)),VLOOKUP(M353,データ!$K$3:$O$6,5,TRUE),"")</f>
        <v>1</v>
      </c>
      <c r="B353" s="74">
        <f>IF(AND(M353&gt;=VLOOKUP(M353,データ!$K$3:$O$6,1,TRUE),M353&lt;=VLOOKUP(M353,データ!$K$3:$O$6,2,TRUE)),VLOOKUP(M353,データ!$K$3:$O$6,3,TRUE),"")</f>
        <v>0.41666666666666669</v>
      </c>
      <c r="C353" s="1">
        <f>IF(AND(M353&gt;=VLOOKUP(M353,データ!$K$11:$O$16,1,TRUE),M353&lt;=VLOOKUP(M353,データ!$K$11:$O$16,2,TRUE)),VLOOKUP(M353,データ!$K$11:$O$16,5,TRUE),0)</f>
        <v>0</v>
      </c>
      <c r="D353" s="74" t="str">
        <f>IF(AND(M353&gt;=VLOOKUP(M353,データ!$K$11:$O$16,1,TRUE),M353&lt;=VLOOKUP(M353,データ!$K$11:$O$16,2,TRUE)),VLOOKUP(M353,データ!$K$11:$O$16,3,TRUE),"")</f>
        <v/>
      </c>
      <c r="E353" s="74">
        <f t="shared" si="330"/>
        <v>0.41666666666666669</v>
      </c>
      <c r="F353" s="75">
        <f>VLOOKUP(E353,データ!$K$20:$O$24,5,FALSE)</f>
        <v>0</v>
      </c>
      <c r="G353" s="74">
        <f>IF(AND(M353&gt;=VLOOKUP(M353,データ!$K$3:$O$6,1,TRUE),M353&lt;=VLOOKUP(M353,データ!$K$3:$O$6,2,TRUE)),VLOOKUP(M353,データ!$K$3:$O$6,4,TRUE),"")</f>
        <v>0.70833333333333337</v>
      </c>
      <c r="H353" s="256">
        <f>INDEX(データ!L$21:N$24,MATCH(配置表!E353,データ!K$21:K$24,0),MATCH(配置表!G353,データ!L$20:N$20,0))</f>
        <v>1</v>
      </c>
      <c r="I353" s="52" t="str">
        <f>IF(ISERROR(VLOOKUP(M353,データ!$A$3:$C$20,3,FALSE)),"",VLOOKUP(M353,データ!$A$3:$C$20,3,FALSE))</f>
        <v/>
      </c>
      <c r="J353" s="52" t="str">
        <f t="shared" si="331"/>
        <v/>
      </c>
      <c r="K353" s="53">
        <f t="shared" si="344"/>
        <v>0</v>
      </c>
      <c r="L353" s="28" t="str">
        <f t="shared" si="332"/>
        <v/>
      </c>
      <c r="M353" s="9">
        <f t="shared" si="345"/>
        <v>46070</v>
      </c>
      <c r="N353" s="10" t="str">
        <f t="shared" si="333"/>
        <v>火</v>
      </c>
      <c r="O353" s="63" t="str">
        <f>IF(AND(M353&gt;=VLOOKUP(M353,データ!$E$3:$G$9,1,TRUE),M353&lt;=VLOOKUP(M353,データ!$E$3:$G$9,2,TRUE)),VLOOKUP(M353,データ!$E$3:$G$9,3,TRUE),"")</f>
        <v>冬　特別展</v>
      </c>
      <c r="P353" s="63" t="str">
        <f>IF(AND(M353&gt;=VLOOKUP(M353,データ!$E$14:$G$21,1,TRUE),M353&lt;=VLOOKUP(M353,データ!$E$14:$G$21,2,TRUE)),VLOOKUP(M353,データ!$E$14:$G$21,3,TRUE),"")</f>
        <v>テーマ展</v>
      </c>
      <c r="Q353" s="45" t="str">
        <f t="shared" si="334"/>
        <v>○</v>
      </c>
      <c r="R353" s="45"/>
      <c r="S353" s="33" t="str">
        <f t="shared" si="341"/>
        <v/>
      </c>
      <c r="T353" s="10"/>
      <c r="U353" s="10" t="str">
        <f t="shared" si="342"/>
        <v>●</v>
      </c>
      <c r="V353" s="32"/>
      <c r="W353" s="33" t="str">
        <f t="shared" si="343"/>
        <v/>
      </c>
      <c r="X353" s="32"/>
      <c r="Y353" s="33" t="str">
        <f t="shared" si="337"/>
        <v>○</v>
      </c>
      <c r="Z353" s="32">
        <f>IF(L353="閉","",(IF(AND(M353&gt;=VLOOKUP(M353,データ!$E$3:$G$9,1,TRUE),M353&lt;=VLOOKUP(M353,データ!$E$3:$G$9,2,TRUE)),VLOOKUP(M353,データ!$E$3:$H$9,4,TRUE),0)+IF(AND(M353&gt;=VLOOKUP(M353,データ!$E$14:$G$21,1,TRUE),M353&lt;=VLOOKUP(M353,データ!$E$14:$G$21,2,TRUE)),VLOOKUP(M353,データ!$E$14:$H$21,4,TRUE),0)))</f>
        <v>5</v>
      </c>
      <c r="AA353" s="33" t="str">
        <f t="shared" si="338"/>
        <v>○</v>
      </c>
      <c r="AB353" s="227">
        <f t="shared" si="339"/>
        <v>0.41666666666666669</v>
      </c>
      <c r="AC353" s="227">
        <f t="shared" si="340"/>
        <v>0.70833333333333337</v>
      </c>
      <c r="AD353" s="228" t="str">
        <f>IF(K353=1,IF(ISERROR(VLOOKUP(M353,データ!$A$3:$C$23,2,FALSE)),"",VLOOKUP(M353,データ!$A$3:$C$23,2,FALSE)),(IF(ISERROR(VLOOKUP(M353,データ!$A$3:$C$23,2,FALSE)),"",VLOOKUP(M353,データ!$A$3:$C$23,2,FALSE))))</f>
        <v/>
      </c>
    </row>
    <row r="354" spans="1:30">
      <c r="A354" s="1">
        <f>IF(AND(M354&gt;=VLOOKUP(M354,データ!$K$3:$O$6,1,TRUE),M354&lt;=VLOOKUP(M354,データ!$K$3:$O$6,2,TRUE)),VLOOKUP(M354,データ!$K$3:$O$6,5,TRUE),"")</f>
        <v>1</v>
      </c>
      <c r="B354" s="74">
        <f>IF(AND(M354&gt;=VLOOKUP(M354,データ!$K$3:$O$6,1,TRUE),M354&lt;=VLOOKUP(M354,データ!$K$3:$O$6,2,TRUE)),VLOOKUP(M354,データ!$K$3:$O$6,3,TRUE),"")</f>
        <v>0.41666666666666669</v>
      </c>
      <c r="C354" s="1">
        <f>IF(AND(M354&gt;=VLOOKUP(M354,データ!$K$11:$O$16,1,TRUE),M354&lt;=VLOOKUP(M354,データ!$K$11:$O$16,2,TRUE)),VLOOKUP(M354,データ!$K$11:$O$16,5,TRUE),0)</f>
        <v>0</v>
      </c>
      <c r="D354" s="74" t="str">
        <f>IF(AND(M354&gt;=VLOOKUP(M354,データ!$K$11:$O$16,1,TRUE),M354&lt;=VLOOKUP(M354,データ!$K$11:$O$16,2,TRUE)),VLOOKUP(M354,データ!$K$11:$O$16,3,TRUE),"")</f>
        <v/>
      </c>
      <c r="E354" s="74">
        <f t="shared" si="330"/>
        <v>0.41666666666666669</v>
      </c>
      <c r="F354" s="75">
        <f>VLOOKUP(E354,データ!$K$20:$O$24,5,FALSE)</f>
        <v>0</v>
      </c>
      <c r="G354" s="74">
        <f>IF(AND(M354&gt;=VLOOKUP(M354,データ!$K$3:$O$6,1,TRUE),M354&lt;=VLOOKUP(M354,データ!$K$3:$O$6,2,TRUE)),VLOOKUP(M354,データ!$K$3:$O$6,4,TRUE),"")</f>
        <v>0.70833333333333337</v>
      </c>
      <c r="H354" s="256">
        <f>INDEX(データ!L$21:N$24,MATCH(配置表!E354,データ!K$21:K$24,0),MATCH(配置表!G354,データ!L$20:N$20,0))</f>
        <v>1</v>
      </c>
      <c r="I354" s="52" t="str">
        <f>IF(ISERROR(VLOOKUP(M354,データ!$A$3:$C$20,3,FALSE)),"",VLOOKUP(M354,データ!$A$3:$C$20,3,FALSE))</f>
        <v/>
      </c>
      <c r="J354" s="52" t="str">
        <f t="shared" si="331"/>
        <v/>
      </c>
      <c r="K354" s="53">
        <f t="shared" si="344"/>
        <v>0</v>
      </c>
      <c r="L354" s="28" t="str">
        <f t="shared" si="332"/>
        <v/>
      </c>
      <c r="M354" s="9">
        <f t="shared" si="345"/>
        <v>46071</v>
      </c>
      <c r="N354" s="10" t="str">
        <f t="shared" si="333"/>
        <v>水</v>
      </c>
      <c r="O354" s="63" t="str">
        <f>IF(AND(M354&gt;=VLOOKUP(M354,データ!$E$3:$G$9,1,TRUE),M354&lt;=VLOOKUP(M354,データ!$E$3:$G$9,2,TRUE)),VLOOKUP(M354,データ!$E$3:$G$9,3,TRUE),"")</f>
        <v>冬　特別展</v>
      </c>
      <c r="P354" s="63" t="str">
        <f>IF(AND(M354&gt;=VLOOKUP(M354,データ!$E$14:$G$21,1,TRUE),M354&lt;=VLOOKUP(M354,データ!$E$14:$G$21,2,TRUE)),VLOOKUP(M354,データ!$E$14:$G$21,3,TRUE),"")</f>
        <v>テーマ展</v>
      </c>
      <c r="Q354" s="45" t="str">
        <f t="shared" si="334"/>
        <v>○</v>
      </c>
      <c r="R354" s="45"/>
      <c r="S354" s="33" t="str">
        <f t="shared" si="341"/>
        <v/>
      </c>
      <c r="T354" s="10"/>
      <c r="U354" s="10" t="str">
        <f t="shared" si="342"/>
        <v>●</v>
      </c>
      <c r="V354" s="32"/>
      <c r="W354" s="33" t="str">
        <f t="shared" si="343"/>
        <v/>
      </c>
      <c r="X354" s="32"/>
      <c r="Y354" s="33" t="str">
        <f t="shared" si="337"/>
        <v>○</v>
      </c>
      <c r="Z354" s="32">
        <f>IF(L354="閉","",(IF(AND(M354&gt;=VLOOKUP(M354,データ!$E$3:$G$9,1,TRUE),M354&lt;=VLOOKUP(M354,データ!$E$3:$G$9,2,TRUE)),VLOOKUP(M354,データ!$E$3:$H$9,4,TRUE),0)+IF(AND(M354&gt;=VLOOKUP(M354,データ!$E$14:$G$21,1,TRUE),M354&lt;=VLOOKUP(M354,データ!$E$14:$G$21,2,TRUE)),VLOOKUP(M354,データ!$E$14:$H$21,4,TRUE),0)))</f>
        <v>5</v>
      </c>
      <c r="AA354" s="33" t="str">
        <f t="shared" si="338"/>
        <v>○</v>
      </c>
      <c r="AB354" s="227">
        <f t="shared" si="339"/>
        <v>0.41666666666666669</v>
      </c>
      <c r="AC354" s="227">
        <f t="shared" si="340"/>
        <v>0.70833333333333337</v>
      </c>
      <c r="AD354" s="228" t="str">
        <f>IF(K354=1,IF(ISERROR(VLOOKUP(M354,データ!$A$3:$C$23,2,FALSE)),"",VLOOKUP(M354,データ!$A$3:$C$23,2,FALSE)),(IF(ISERROR(VLOOKUP(M354,データ!$A$3:$C$23,2,FALSE)),"",VLOOKUP(M354,データ!$A$3:$C$23,2,FALSE))))</f>
        <v/>
      </c>
    </row>
    <row r="355" spans="1:30">
      <c r="A355" s="1">
        <f>IF(AND(M355&gt;=VLOOKUP(M355,データ!$K$3:$O$6,1,TRUE),M355&lt;=VLOOKUP(M355,データ!$K$3:$O$6,2,TRUE)),VLOOKUP(M355,データ!$K$3:$O$6,5,TRUE),"")</f>
        <v>1</v>
      </c>
      <c r="B355" s="74">
        <f>IF(AND(M355&gt;=VLOOKUP(M355,データ!$K$3:$O$6,1,TRUE),M355&lt;=VLOOKUP(M355,データ!$K$3:$O$6,2,TRUE)),VLOOKUP(M355,データ!$K$3:$O$6,3,TRUE),"")</f>
        <v>0.41666666666666669</v>
      </c>
      <c r="C355" s="1">
        <f>IF(AND(M355&gt;=VLOOKUP(M355,データ!$K$11:$O$16,1,TRUE),M355&lt;=VLOOKUP(M355,データ!$K$11:$O$16,2,TRUE)),VLOOKUP(M355,データ!$K$11:$O$16,5,TRUE),0)</f>
        <v>0</v>
      </c>
      <c r="D355" s="74" t="str">
        <f>IF(AND(M355&gt;=VLOOKUP(M355,データ!$K$11:$O$16,1,TRUE),M355&lt;=VLOOKUP(M355,データ!$K$11:$O$16,2,TRUE)),VLOOKUP(M355,データ!$K$11:$O$16,3,TRUE),"")</f>
        <v/>
      </c>
      <c r="E355" s="74">
        <f t="shared" si="330"/>
        <v>0.41666666666666669</v>
      </c>
      <c r="F355" s="75">
        <f>VLOOKUP(E355,データ!$K$20:$O$24,5,FALSE)</f>
        <v>0</v>
      </c>
      <c r="G355" s="74">
        <f>IF(AND(M355&gt;=VLOOKUP(M355,データ!$K$3:$O$6,1,TRUE),M355&lt;=VLOOKUP(M355,データ!$K$3:$O$6,2,TRUE)),VLOOKUP(M355,データ!$K$3:$O$6,4,TRUE),"")</f>
        <v>0.70833333333333337</v>
      </c>
      <c r="H355" s="256">
        <f>INDEX(データ!L$21:N$24,MATCH(配置表!E355,データ!K$21:K$24,0),MATCH(配置表!G355,データ!L$20:N$20,0))</f>
        <v>1</v>
      </c>
      <c r="I355" s="52" t="str">
        <f>IF(ISERROR(VLOOKUP(M355,データ!$A$3:$C$20,3,FALSE)),"",VLOOKUP(M355,データ!$A$3:$C$20,3,FALSE))</f>
        <v/>
      </c>
      <c r="J355" s="52" t="str">
        <f t="shared" si="331"/>
        <v/>
      </c>
      <c r="K355" s="53">
        <f t="shared" si="344"/>
        <v>0</v>
      </c>
      <c r="L355" s="28" t="str">
        <f t="shared" si="332"/>
        <v/>
      </c>
      <c r="M355" s="9">
        <f t="shared" si="345"/>
        <v>46072</v>
      </c>
      <c r="N355" s="10" t="str">
        <f t="shared" si="333"/>
        <v>木</v>
      </c>
      <c r="O355" s="63" t="str">
        <f>IF(AND(M355&gt;=VLOOKUP(M355,データ!$E$3:$G$9,1,TRUE),M355&lt;=VLOOKUP(M355,データ!$E$3:$G$9,2,TRUE)),VLOOKUP(M355,データ!$E$3:$G$9,3,TRUE),"")</f>
        <v>冬　特別展</v>
      </c>
      <c r="P355" s="63" t="str">
        <f>IF(AND(M355&gt;=VLOOKUP(M355,データ!$E$14:$G$21,1,TRUE),M355&lt;=VLOOKUP(M355,データ!$E$14:$G$21,2,TRUE)),VLOOKUP(M355,データ!$E$14:$G$21,3,TRUE),"")</f>
        <v>テーマ展</v>
      </c>
      <c r="Q355" s="45" t="str">
        <f t="shared" si="334"/>
        <v>○</v>
      </c>
      <c r="R355" s="45"/>
      <c r="S355" s="33" t="str">
        <f t="shared" si="341"/>
        <v/>
      </c>
      <c r="T355" s="10"/>
      <c r="U355" s="10" t="str">
        <f t="shared" si="342"/>
        <v>●</v>
      </c>
      <c r="V355" s="32"/>
      <c r="W355" s="33" t="str">
        <f t="shared" si="343"/>
        <v/>
      </c>
      <c r="X355" s="32"/>
      <c r="Y355" s="33" t="str">
        <f t="shared" si="337"/>
        <v>○</v>
      </c>
      <c r="Z355" s="32">
        <f>IF(L355="閉","",(IF(AND(M355&gt;=VLOOKUP(M355,データ!$E$3:$G$9,1,TRUE),M355&lt;=VLOOKUP(M355,データ!$E$3:$G$9,2,TRUE)),VLOOKUP(M355,データ!$E$3:$H$9,4,TRUE),0)+IF(AND(M355&gt;=VLOOKUP(M355,データ!$E$14:$G$21,1,TRUE),M355&lt;=VLOOKUP(M355,データ!$E$14:$G$21,2,TRUE)),VLOOKUP(M355,データ!$E$14:$H$21,4,TRUE),0)))</f>
        <v>5</v>
      </c>
      <c r="AA355" s="33" t="str">
        <f t="shared" si="338"/>
        <v>○</v>
      </c>
      <c r="AB355" s="227">
        <f t="shared" si="339"/>
        <v>0.41666666666666669</v>
      </c>
      <c r="AC355" s="227">
        <f t="shared" si="340"/>
        <v>0.70833333333333337</v>
      </c>
      <c r="AD355" s="228" t="str">
        <f>IF(K355=1,IF(ISERROR(VLOOKUP(M355,データ!$A$3:$C$23,2,FALSE)),"",VLOOKUP(M355,データ!$A$3:$C$23,2,FALSE)),(IF(ISERROR(VLOOKUP(M355,データ!$A$3:$C$23,2,FALSE)),"",VLOOKUP(M355,データ!$A$3:$C$23,2,FALSE))))</f>
        <v/>
      </c>
    </row>
    <row r="356" spans="1:30">
      <c r="A356" s="1">
        <f>IF(AND(M356&gt;=VLOOKUP(M356,データ!$K$3:$O$6,1,TRUE),M356&lt;=VLOOKUP(M356,データ!$K$3:$O$6,2,TRUE)),VLOOKUP(M356,データ!$K$3:$O$6,5,TRUE),"")</f>
        <v>1</v>
      </c>
      <c r="B356" s="74">
        <f>IF(AND(M356&gt;=VLOOKUP(M356,データ!$K$3:$O$6,1,TRUE),M356&lt;=VLOOKUP(M356,データ!$K$3:$O$6,2,TRUE)),VLOOKUP(M356,データ!$K$3:$O$6,3,TRUE),"")</f>
        <v>0.41666666666666669</v>
      </c>
      <c r="C356" s="1">
        <f>IF(AND(M356&gt;=VLOOKUP(M356,データ!$K$11:$O$16,1,TRUE),M356&lt;=VLOOKUP(M356,データ!$K$11:$O$16,2,TRUE)),VLOOKUP(M356,データ!$K$11:$O$16,5,TRUE),0)</f>
        <v>0</v>
      </c>
      <c r="D356" s="74" t="str">
        <f>IF(AND(M356&gt;=VLOOKUP(M356,データ!$K$11:$O$16,1,TRUE),M356&lt;=VLOOKUP(M356,データ!$K$11:$O$16,2,TRUE)),VLOOKUP(M356,データ!$K$11:$O$16,3,TRUE),"")</f>
        <v/>
      </c>
      <c r="E356" s="74">
        <f t="shared" si="330"/>
        <v>0.41666666666666669</v>
      </c>
      <c r="F356" s="75">
        <f>VLOOKUP(E356,データ!$K$20:$O$24,5,FALSE)</f>
        <v>0</v>
      </c>
      <c r="G356" s="74">
        <f>IF(AND(M356&gt;=VLOOKUP(M356,データ!$K$3:$O$6,1,TRUE),M356&lt;=VLOOKUP(M356,データ!$K$3:$O$6,2,TRUE)),VLOOKUP(M356,データ!$K$3:$O$6,4,TRUE),"")</f>
        <v>0.70833333333333337</v>
      </c>
      <c r="H356" s="256">
        <f>INDEX(データ!L$21:N$24,MATCH(配置表!E356,データ!K$21:K$24,0),MATCH(配置表!G356,データ!L$20:N$20,0))</f>
        <v>1</v>
      </c>
      <c r="I356" s="52" t="str">
        <f>IF(ISERROR(VLOOKUP(M356,データ!$A$3:$C$20,3,FALSE)),"",VLOOKUP(M356,データ!$A$3:$C$20,3,FALSE))</f>
        <v/>
      </c>
      <c r="J356" s="52" t="str">
        <f t="shared" si="331"/>
        <v/>
      </c>
      <c r="K356" s="53">
        <f t="shared" si="344"/>
        <v>0</v>
      </c>
      <c r="L356" s="28" t="str">
        <f t="shared" si="332"/>
        <v/>
      </c>
      <c r="M356" s="9">
        <f t="shared" si="345"/>
        <v>46073</v>
      </c>
      <c r="N356" s="10" t="str">
        <f t="shared" si="333"/>
        <v>金</v>
      </c>
      <c r="O356" s="63" t="str">
        <f>IF(AND(M356&gt;=VLOOKUP(M356,データ!$E$3:$G$9,1,TRUE),M356&lt;=VLOOKUP(M356,データ!$E$3:$G$9,2,TRUE)),VLOOKUP(M356,データ!$E$3:$G$9,3,TRUE),"")</f>
        <v>冬　特別展</v>
      </c>
      <c r="P356" s="63" t="str">
        <f>IF(AND(M356&gt;=VLOOKUP(M356,データ!$E$14:$G$21,1,TRUE),M356&lt;=VLOOKUP(M356,データ!$E$14:$G$21,2,TRUE)),VLOOKUP(M356,データ!$E$14:$G$21,3,TRUE),"")</f>
        <v>テーマ展</v>
      </c>
      <c r="Q356" s="45" t="str">
        <f t="shared" si="334"/>
        <v>○</v>
      </c>
      <c r="R356" s="45"/>
      <c r="S356" s="33" t="str">
        <f t="shared" si="341"/>
        <v/>
      </c>
      <c r="T356" s="10"/>
      <c r="U356" s="10" t="str">
        <f t="shared" si="342"/>
        <v>●</v>
      </c>
      <c r="V356" s="32"/>
      <c r="W356" s="33" t="str">
        <f t="shared" si="343"/>
        <v/>
      </c>
      <c r="X356" s="32"/>
      <c r="Y356" s="33" t="str">
        <f t="shared" si="337"/>
        <v>○</v>
      </c>
      <c r="Z356" s="32">
        <f>IF(L356="閉","",(IF(AND(M356&gt;=VLOOKUP(M356,データ!$E$3:$G$9,1,TRUE),M356&lt;=VLOOKUP(M356,データ!$E$3:$G$9,2,TRUE)),VLOOKUP(M356,データ!$E$3:$H$9,4,TRUE),0)+IF(AND(M356&gt;=VLOOKUP(M356,データ!$E$14:$G$21,1,TRUE),M356&lt;=VLOOKUP(M356,データ!$E$14:$G$21,2,TRUE)),VLOOKUP(M356,データ!$E$14:$H$21,4,TRUE),0)))</f>
        <v>5</v>
      </c>
      <c r="AA356" s="33" t="str">
        <f t="shared" si="338"/>
        <v>○</v>
      </c>
      <c r="AB356" s="227">
        <f t="shared" si="339"/>
        <v>0.41666666666666669</v>
      </c>
      <c r="AC356" s="227">
        <f t="shared" si="340"/>
        <v>0.70833333333333337</v>
      </c>
      <c r="AD356" s="228" t="str">
        <f>IF(K356=1,IF(ISERROR(VLOOKUP(M356,データ!$A$3:$C$23,2,FALSE)),"",VLOOKUP(M356,データ!$A$3:$C$23,2,FALSE)),(IF(ISERROR(VLOOKUP(M356,データ!$A$3:$C$23,2,FALSE)),"",VLOOKUP(M356,データ!$A$3:$C$23,2,FALSE))))</f>
        <v/>
      </c>
    </row>
    <row r="357" spans="1:30">
      <c r="A357" s="1">
        <f>IF(AND(M357&gt;=VLOOKUP(M357,データ!$K$3:$O$6,1,TRUE),M357&lt;=VLOOKUP(M357,データ!$K$3:$O$6,2,TRUE)),VLOOKUP(M357,データ!$K$3:$O$6,5,TRUE),"")</f>
        <v>1</v>
      </c>
      <c r="B357" s="74">
        <f>IF(AND(M357&gt;=VLOOKUP(M357,データ!$K$3:$O$6,1,TRUE),M357&lt;=VLOOKUP(M357,データ!$K$3:$O$6,2,TRUE)),VLOOKUP(M357,データ!$K$3:$O$6,3,TRUE),"")</f>
        <v>0.41666666666666669</v>
      </c>
      <c r="C357" s="1">
        <f>IF(AND(M357&gt;=VLOOKUP(M357,データ!$K$11:$O$16,1,TRUE),M357&lt;=VLOOKUP(M357,データ!$K$11:$O$16,2,TRUE)),VLOOKUP(M357,データ!$K$11:$O$16,5,TRUE),0)</f>
        <v>0</v>
      </c>
      <c r="D357" s="74" t="str">
        <f>IF(AND(M357&gt;=VLOOKUP(M357,データ!$K$11:$O$16,1,TRUE),M357&lt;=VLOOKUP(M357,データ!$K$11:$O$16,2,TRUE)),VLOOKUP(M357,データ!$K$11:$O$16,3,TRUE),"")</f>
        <v/>
      </c>
      <c r="E357" s="74">
        <f t="shared" si="330"/>
        <v>0.41666666666666669</v>
      </c>
      <c r="F357" s="75">
        <f>VLOOKUP(E357,データ!$K$20:$O$24,5,FALSE)</f>
        <v>0</v>
      </c>
      <c r="G357" s="74">
        <f>IF(AND(M357&gt;=VLOOKUP(M357,データ!$K$3:$O$6,1,TRUE),M357&lt;=VLOOKUP(M357,データ!$K$3:$O$6,2,TRUE)),VLOOKUP(M357,データ!$K$3:$O$6,4,TRUE),"")</f>
        <v>0.70833333333333337</v>
      </c>
      <c r="H357" s="256">
        <f>INDEX(データ!L$21:N$24,MATCH(配置表!E357,データ!K$21:K$24,0),MATCH(配置表!G357,データ!L$20:N$20,0))</f>
        <v>1</v>
      </c>
      <c r="I357" s="52" t="str">
        <f>IF(ISERROR(VLOOKUP(M357,データ!$A$3:$C$20,3,FALSE)),"",VLOOKUP(M357,データ!$A$3:$C$20,3,FALSE))</f>
        <v/>
      </c>
      <c r="J357" s="52" t="str">
        <f t="shared" si="331"/>
        <v/>
      </c>
      <c r="K357" s="53">
        <f t="shared" si="344"/>
        <v>0</v>
      </c>
      <c r="L357" s="28" t="str">
        <f t="shared" si="332"/>
        <v/>
      </c>
      <c r="M357" s="9">
        <f t="shared" si="345"/>
        <v>46074</v>
      </c>
      <c r="N357" s="10" t="str">
        <f t="shared" si="333"/>
        <v>土</v>
      </c>
      <c r="O357" s="63" t="str">
        <f>IF(AND(M357&gt;=VLOOKUP(M357,データ!$E$3:$G$9,1,TRUE),M357&lt;=VLOOKUP(M357,データ!$E$3:$G$9,2,TRUE)),VLOOKUP(M357,データ!$E$3:$G$9,3,TRUE),"")</f>
        <v>冬　特別展</v>
      </c>
      <c r="P357" s="63" t="str">
        <f>IF(AND(M357&gt;=VLOOKUP(M357,データ!$E$14:$G$21,1,TRUE),M357&lt;=VLOOKUP(M357,データ!$E$14:$G$21,2,TRUE)),VLOOKUP(M357,データ!$E$14:$G$21,3,TRUE),"")</f>
        <v>テーマ展</v>
      </c>
      <c r="Q357" s="45" t="str">
        <f t="shared" si="334"/>
        <v>○</v>
      </c>
      <c r="R357" s="45"/>
      <c r="S357" s="33" t="str">
        <f t="shared" ref="S357:S358" si="351">IF(H357="閉","休",IF(K357="","",IF(OR(J357="土",J357="日",E357=1),IF(OR(K357="ダミー　特別展",K357="ダミー　特別展"),"◎",IF(OR(K357="夏　特別展",K357="秋　特別展",K357="春　特別展"),"○","")),"")))</f>
        <v/>
      </c>
      <c r="T357" s="45"/>
      <c r="U357" s="33" t="str">
        <f t="shared" si="342"/>
        <v>●</v>
      </c>
      <c r="V357" s="32"/>
      <c r="W357" s="33" t="str">
        <f>IF(P357="閉","休",IF(O357="","",IF(O357="冬　特別展",IF(OR(N357="土",N357="日",I357=1),"◎",""),"○")))</f>
        <v>◎</v>
      </c>
      <c r="X357" s="32"/>
      <c r="Y357" s="33" t="str">
        <f t="shared" si="337"/>
        <v>○</v>
      </c>
      <c r="Z357" s="32">
        <f>IF(L357="閉","",(IF(AND(M357&gt;=VLOOKUP(M357,データ!$E$3:$G$9,1,TRUE),M357&lt;=VLOOKUP(M357,データ!$E$3:$G$9,2,TRUE)),VLOOKUP(M357,データ!$E$3:$H$9,4,TRUE),0)+IF(AND(M357&gt;=VLOOKUP(M357,データ!$E$14:$G$21,1,TRUE),M357&lt;=VLOOKUP(M357,データ!$E$14:$G$21,2,TRUE)),VLOOKUP(M357,データ!$E$14:$H$21,4,TRUE),0)))</f>
        <v>5</v>
      </c>
      <c r="AA357" s="33" t="str">
        <f t="shared" si="338"/>
        <v>○</v>
      </c>
      <c r="AB357" s="227">
        <f t="shared" si="339"/>
        <v>0.41666666666666669</v>
      </c>
      <c r="AC357" s="227">
        <f t="shared" si="340"/>
        <v>0.70833333333333337</v>
      </c>
      <c r="AD357" s="228" t="str">
        <f>IF(K357=1,IF(ISERROR(VLOOKUP(M357,データ!$A$3:$C$23,2,FALSE)),"",VLOOKUP(M357,データ!$A$3:$C$23,2,FALSE)),(IF(ISERROR(VLOOKUP(M357,データ!$A$3:$C$23,2,FALSE)),"",VLOOKUP(M357,データ!$A$3:$C$23,2,FALSE))))</f>
        <v/>
      </c>
    </row>
    <row r="358" spans="1:30">
      <c r="A358" s="1">
        <f>IF(AND(M358&gt;=VLOOKUP(M358,データ!$K$3:$O$6,1,TRUE),M358&lt;=VLOOKUP(M358,データ!$K$3:$O$6,2,TRUE)),VLOOKUP(M358,データ!$K$3:$O$6,5,TRUE),"")</f>
        <v>1</v>
      </c>
      <c r="B358" s="74">
        <f>IF(AND(M358&gt;=VLOOKUP(M358,データ!$K$3:$O$6,1,TRUE),M358&lt;=VLOOKUP(M358,データ!$K$3:$O$6,2,TRUE)),VLOOKUP(M358,データ!$K$3:$O$6,3,TRUE),"")</f>
        <v>0.41666666666666669</v>
      </c>
      <c r="C358" s="1">
        <f>IF(AND(M358&gt;=VLOOKUP(M358,データ!$K$11:$O$16,1,TRUE),M358&lt;=VLOOKUP(M358,データ!$K$11:$O$16,2,TRUE)),VLOOKUP(M358,データ!$K$11:$O$16,5,TRUE),0)</f>
        <v>0</v>
      </c>
      <c r="D358" s="74" t="str">
        <f>IF(AND(M358&gt;=VLOOKUP(M358,データ!$K$11:$O$16,1,TRUE),M358&lt;=VLOOKUP(M358,データ!$K$11:$O$16,2,TRUE)),VLOOKUP(M358,データ!$K$11:$O$16,3,TRUE),"")</f>
        <v/>
      </c>
      <c r="E358" s="74">
        <f t="shared" si="330"/>
        <v>0.41666666666666669</v>
      </c>
      <c r="F358" s="75">
        <f>VLOOKUP(E358,データ!$K$20:$O$24,5,FALSE)</f>
        <v>0</v>
      </c>
      <c r="G358" s="74">
        <f>IF(AND(M358&gt;=VLOOKUP(M358,データ!$K$3:$O$6,1,TRUE),M358&lt;=VLOOKUP(M358,データ!$K$3:$O$6,2,TRUE)),VLOOKUP(M358,データ!$K$3:$O$6,4,TRUE),"")</f>
        <v>0.70833333333333337</v>
      </c>
      <c r="H358" s="256">
        <f>INDEX(データ!L$21:N$24,MATCH(配置表!E358,データ!K$21:K$24,0),MATCH(配置表!G358,データ!L$20:N$20,0))</f>
        <v>1</v>
      </c>
      <c r="I358" s="52" t="str">
        <f>IF(ISERROR(VLOOKUP(M358,データ!$A$3:$C$20,3,FALSE)),"",VLOOKUP(M358,データ!$A$3:$C$20,3,FALSE))</f>
        <v/>
      </c>
      <c r="J358" s="52" t="str">
        <f t="shared" si="331"/>
        <v/>
      </c>
      <c r="K358" s="53">
        <f t="shared" si="344"/>
        <v>0</v>
      </c>
      <c r="L358" s="28" t="str">
        <f t="shared" si="332"/>
        <v/>
      </c>
      <c r="M358" s="9">
        <f t="shared" si="345"/>
        <v>46075</v>
      </c>
      <c r="N358" s="10" t="str">
        <f t="shared" si="333"/>
        <v>日</v>
      </c>
      <c r="O358" s="63" t="str">
        <f>IF(AND(M358&gt;=VLOOKUP(M358,データ!$E$3:$G$9,1,TRUE),M358&lt;=VLOOKUP(M358,データ!$E$3:$G$9,2,TRUE)),VLOOKUP(M358,データ!$E$3:$G$9,3,TRUE),"")</f>
        <v>冬　特別展</v>
      </c>
      <c r="P358" s="63" t="str">
        <f>IF(AND(M358&gt;=VLOOKUP(M358,データ!$E$14:$G$21,1,TRUE),M358&lt;=VLOOKUP(M358,データ!$E$14:$G$21,2,TRUE)),VLOOKUP(M358,データ!$E$14:$G$21,3,TRUE),"")</f>
        <v>テーマ展</v>
      </c>
      <c r="Q358" s="45" t="str">
        <f t="shared" si="334"/>
        <v>○</v>
      </c>
      <c r="R358" s="45"/>
      <c r="S358" s="33" t="str">
        <f t="shared" si="351"/>
        <v/>
      </c>
      <c r="T358" s="45"/>
      <c r="U358" s="33" t="str">
        <f t="shared" si="342"/>
        <v>●</v>
      </c>
      <c r="V358" s="32"/>
      <c r="W358" s="33" t="str">
        <f>IF(P358="閉","休",IF(O358="","",IF(O358="冬　特別展",IF(OR(N358="土",N358="日",I358=1),"◎",""),"○")))</f>
        <v>◎</v>
      </c>
      <c r="X358" s="32"/>
      <c r="Y358" s="33" t="str">
        <f t="shared" si="337"/>
        <v>○</v>
      </c>
      <c r="Z358" s="32">
        <f>IF(L358="閉","",(IF(AND(M358&gt;=VLOOKUP(M358,データ!$E$3:$G$9,1,TRUE),M358&lt;=VLOOKUP(M358,データ!$E$3:$G$9,2,TRUE)),VLOOKUP(M358,データ!$E$3:$H$9,4,TRUE),0)+IF(AND(M358&gt;=VLOOKUP(M358,データ!$E$14:$G$21,1,TRUE),M358&lt;=VLOOKUP(M358,データ!$E$14:$G$21,2,TRUE)),VLOOKUP(M358,データ!$E$14:$H$21,4,TRUE),0)))</f>
        <v>5</v>
      </c>
      <c r="AA358" s="33" t="str">
        <f t="shared" si="338"/>
        <v>○</v>
      </c>
      <c r="AB358" s="227">
        <f t="shared" si="339"/>
        <v>0.41666666666666669</v>
      </c>
      <c r="AC358" s="227">
        <f t="shared" si="340"/>
        <v>0.70833333333333337</v>
      </c>
      <c r="AD358" s="228" t="str">
        <f>IF(K358=1,IF(ISERROR(VLOOKUP(M358,データ!$A$3:$C$23,2,FALSE)),"",VLOOKUP(M358,データ!$A$3:$C$23,2,FALSE)),(IF(ISERROR(VLOOKUP(M358,データ!$A$3:$C$23,2,FALSE)),"",VLOOKUP(M358,データ!$A$3:$C$23,2,FALSE))))</f>
        <v/>
      </c>
    </row>
    <row r="359" spans="1:30">
      <c r="A359" s="1">
        <f>IF(AND(M359&gt;=VLOOKUP(M359,データ!$K$3:$O$6,1,TRUE),M359&lt;=VLOOKUP(M359,データ!$K$3:$O$6,2,TRUE)),VLOOKUP(M359,データ!$K$3:$O$6,5,TRUE),"")</f>
        <v>1</v>
      </c>
      <c r="B359" s="74">
        <f>IF(AND(M359&gt;=VLOOKUP(M359,データ!$K$3:$O$6,1,TRUE),M359&lt;=VLOOKUP(M359,データ!$K$3:$O$6,2,TRUE)),VLOOKUP(M359,データ!$K$3:$O$6,3,TRUE),"")</f>
        <v>0.41666666666666669</v>
      </c>
      <c r="C359" s="1">
        <f>IF(AND(M359&gt;=VLOOKUP(M359,データ!$K$11:$O$16,1,TRUE),M359&lt;=VLOOKUP(M359,データ!$K$11:$O$16,2,TRUE)),VLOOKUP(M359,データ!$K$11:$O$16,5,TRUE),0)</f>
        <v>0</v>
      </c>
      <c r="D359" s="74" t="str">
        <f>IF(AND(M359&gt;=VLOOKUP(M359,データ!$K$11:$O$16,1,TRUE),M359&lt;=VLOOKUP(M359,データ!$K$11:$O$16,2,TRUE)),VLOOKUP(M359,データ!$K$11:$O$16,3,TRUE),"")</f>
        <v/>
      </c>
      <c r="E359" s="74">
        <f t="shared" si="330"/>
        <v>0.41666666666666669</v>
      </c>
      <c r="F359" s="75">
        <f>VLOOKUP(E359,データ!$K$20:$O$24,5,FALSE)</f>
        <v>0</v>
      </c>
      <c r="G359" s="74">
        <f>IF(AND(M359&gt;=VLOOKUP(M359,データ!$K$3:$O$6,1,TRUE),M359&lt;=VLOOKUP(M359,データ!$K$3:$O$6,2,TRUE)),VLOOKUP(M359,データ!$K$3:$O$6,4,TRUE),"")</f>
        <v>0.70833333333333337</v>
      </c>
      <c r="H359" s="256">
        <f>INDEX(データ!L$21:N$24,MATCH(配置表!E359,データ!K$21:K$24,0),MATCH(配置表!G359,データ!L$20:N$20,0))</f>
        <v>1</v>
      </c>
      <c r="I359" s="52">
        <f>IF(ISERROR(VLOOKUP(M359,データ!$A$3:$C$20,3,FALSE)),"",VLOOKUP(M359,データ!$A$3:$C$20,3,FALSE))</f>
        <v>1</v>
      </c>
      <c r="J359" s="52">
        <f t="shared" si="331"/>
        <v>1</v>
      </c>
      <c r="K359" s="53">
        <f t="shared" si="344"/>
        <v>2</v>
      </c>
      <c r="L359" s="28" t="str">
        <f t="shared" si="332"/>
        <v/>
      </c>
      <c r="M359" s="9">
        <f t="shared" si="345"/>
        <v>46076</v>
      </c>
      <c r="N359" s="10" t="str">
        <f t="shared" si="333"/>
        <v>月</v>
      </c>
      <c r="O359" s="63" t="str">
        <f>IF(AND(M359&gt;=VLOOKUP(M359,データ!$E$3:$G$9,1,TRUE),M359&lt;=VLOOKUP(M359,データ!$E$3:$G$9,2,TRUE)),VLOOKUP(M359,データ!$E$3:$G$9,3,TRUE),"")</f>
        <v>冬　特別展</v>
      </c>
      <c r="P359" s="63" t="str">
        <f>IF(AND(M359&gt;=VLOOKUP(M359,データ!$E$14:$G$21,1,TRUE),M359&lt;=VLOOKUP(M359,データ!$E$14:$G$21,2,TRUE)),VLOOKUP(M359,データ!$E$14:$G$21,3,TRUE),"")</f>
        <v>テーマ展</v>
      </c>
      <c r="Q359" s="44" t="str">
        <f t="shared" si="334"/>
        <v>○</v>
      </c>
      <c r="R359" s="32"/>
      <c r="S359" s="33" t="str">
        <f t="shared" ref="S359" si="352">IF(H359="閉","休",IF(K359="","",IF(OR(J359="土",J359="日",E359=1),IF(OR(K359="ダミー　特別展",K359="ダミー　特別展"),"◎",IF(OR(K359="夏　特別展",K359="秋　特別展",K359="春　特別展"),"○","")),"")))</f>
        <v/>
      </c>
      <c r="T359" s="45"/>
      <c r="U359" s="33" t="str">
        <f t="shared" ref="U359" si="353">IF(L359="閉","休",IF(S359="","●","●"))</f>
        <v>●</v>
      </c>
      <c r="V359" s="32"/>
      <c r="W359" s="33" t="str">
        <f>IF(P359="閉","休",IF(O359="","",IF(O359="冬　特別展",IF(OR(N359="土",N359="日",I359=1),"◎",""),"○")))</f>
        <v>◎</v>
      </c>
      <c r="X359" s="32"/>
      <c r="Y359" s="33" t="str">
        <f t="shared" si="337"/>
        <v>○</v>
      </c>
      <c r="Z359" s="32">
        <f>IF(L359="閉","",(IF(AND(M359&gt;=VLOOKUP(M359,データ!$E$3:$G$9,1,TRUE),M359&lt;=VLOOKUP(M359,データ!$E$3:$G$9,2,TRUE)),VLOOKUP(M359,データ!$E$3:$H$9,4,TRUE),0)+IF(AND(M359&gt;=VLOOKUP(M359,データ!$E$14:$G$21,1,TRUE),M359&lt;=VLOOKUP(M359,データ!$E$14:$G$21,2,TRUE)),VLOOKUP(M359,データ!$E$14:$H$21,4,TRUE),0)))</f>
        <v>5</v>
      </c>
      <c r="AA359" s="33" t="str">
        <f t="shared" si="338"/>
        <v>○</v>
      </c>
      <c r="AB359" s="227">
        <f t="shared" si="339"/>
        <v>0.41666666666666669</v>
      </c>
      <c r="AC359" s="227">
        <f t="shared" si="340"/>
        <v>0.70833333333333337</v>
      </c>
      <c r="AD359" s="228" t="str">
        <f>IF(K359=1,IF(ISERROR(VLOOKUP(M359,データ!$A$3:$C$23,2,FALSE)),"",VLOOKUP(M359,データ!$A$3:$C$23,2,FALSE)),(IF(ISERROR(VLOOKUP(M359,データ!$A$3:$C$23,2,FALSE)),"",VLOOKUP(M359,データ!$A$3:$C$23,2,FALSE))))</f>
        <v>天皇誕生日</v>
      </c>
    </row>
    <row r="360" spans="1:30">
      <c r="A360" s="1">
        <f>IF(AND(M360&gt;=VLOOKUP(M360,データ!$K$3:$O$6,1,TRUE),M360&lt;=VLOOKUP(M360,データ!$K$3:$O$6,2,TRUE)),VLOOKUP(M360,データ!$K$3:$O$6,5,TRUE),"")</f>
        <v>1</v>
      </c>
      <c r="B360" s="74">
        <f>IF(AND(M360&gt;=VLOOKUP(M360,データ!$K$3:$O$6,1,TRUE),M360&lt;=VLOOKUP(M360,データ!$K$3:$O$6,2,TRUE)),VLOOKUP(M360,データ!$K$3:$O$6,3,TRUE),"")</f>
        <v>0.41666666666666669</v>
      </c>
      <c r="C360" s="1">
        <f>IF(AND(M360&gt;=VLOOKUP(M360,データ!$K$11:$O$16,1,TRUE),M360&lt;=VLOOKUP(M360,データ!$K$11:$O$16,2,TRUE)),VLOOKUP(M360,データ!$K$11:$O$16,5,TRUE),0)</f>
        <v>0</v>
      </c>
      <c r="D360" s="74" t="str">
        <f>IF(AND(M360&gt;=VLOOKUP(M360,データ!$K$11:$O$16,1,TRUE),M360&lt;=VLOOKUP(M360,データ!$K$11:$O$16,2,TRUE)),VLOOKUP(M360,データ!$K$11:$O$16,3,TRUE),"")</f>
        <v/>
      </c>
      <c r="E360" s="74">
        <f t="shared" si="330"/>
        <v>0.41666666666666669</v>
      </c>
      <c r="F360" s="75">
        <f>VLOOKUP(E360,データ!$K$20:$O$24,5,FALSE)</f>
        <v>0</v>
      </c>
      <c r="G360" s="74">
        <f>IF(AND(M360&gt;=VLOOKUP(M360,データ!$K$3:$O$6,1,TRUE),M360&lt;=VLOOKUP(M360,データ!$K$3:$O$6,2,TRUE)),VLOOKUP(M360,データ!$K$3:$O$6,4,TRUE),"")</f>
        <v>0.70833333333333337</v>
      </c>
      <c r="H360" s="256">
        <f>INDEX(データ!L$21:N$24,MATCH(配置表!E360,データ!K$21:K$24,0),MATCH(配置表!G360,データ!L$20:N$20,0))</f>
        <v>1</v>
      </c>
      <c r="I360" s="52" t="str">
        <f>IF(ISERROR(VLOOKUP(M360,データ!$A$3:$C$20,3,FALSE)),"",VLOOKUP(M360,データ!$A$3:$C$20,3,FALSE))</f>
        <v/>
      </c>
      <c r="J360" s="52" t="str">
        <f t="shared" si="331"/>
        <v/>
      </c>
      <c r="K360" s="53">
        <f t="shared" si="344"/>
        <v>1</v>
      </c>
      <c r="L360" s="28" t="str">
        <f t="shared" si="332"/>
        <v>閉</v>
      </c>
      <c r="M360" s="9">
        <f t="shared" si="345"/>
        <v>46077</v>
      </c>
      <c r="N360" s="10" t="str">
        <f t="shared" si="333"/>
        <v>火</v>
      </c>
      <c r="O360" s="63" t="str">
        <f>IF(AND(M360&gt;=VLOOKUP(M360,データ!$E$3:$G$9,1,TRUE),M360&lt;=VLOOKUP(M360,データ!$E$3:$G$9,2,TRUE)),VLOOKUP(M360,データ!$E$3:$G$9,3,TRUE),"")</f>
        <v/>
      </c>
      <c r="P360" s="63" t="str">
        <f>IF(AND(M360&gt;=VLOOKUP(M360,データ!$E$14:$G$21,1,TRUE),M360&lt;=VLOOKUP(M360,データ!$E$14:$G$21,2,TRUE)),VLOOKUP(M360,データ!$E$14:$G$21,3,TRUE),"")</f>
        <v/>
      </c>
      <c r="Q360" s="45" t="str">
        <f t="shared" si="334"/>
        <v>休</v>
      </c>
      <c r="R360" s="45"/>
      <c r="S360" s="33" t="str">
        <f t="shared" si="341"/>
        <v>休</v>
      </c>
      <c r="T360" s="10"/>
      <c r="U360" s="10" t="str">
        <f t="shared" si="342"/>
        <v>休</v>
      </c>
      <c r="V360" s="32"/>
      <c r="W360" s="33" t="str">
        <f t="shared" si="343"/>
        <v>休</v>
      </c>
      <c r="X360" s="32"/>
      <c r="Y360" s="33" t="str">
        <f t="shared" si="337"/>
        <v>休</v>
      </c>
      <c r="Z360" s="32" t="str">
        <f>IF(L360="閉","",(IF(AND(M360&gt;=VLOOKUP(M360,データ!$E$3:$G$9,1,TRUE),M360&lt;=VLOOKUP(M360,データ!$E$3:$G$9,2,TRUE)),VLOOKUP(M360,データ!$E$3:$H$9,4,TRUE),0)+IF(AND(M360&gt;=VLOOKUP(M360,データ!$E$14:$G$21,1,TRUE),M360&lt;=VLOOKUP(M360,データ!$E$14:$G$21,2,TRUE)),VLOOKUP(M360,データ!$E$14:$H$21,4,TRUE),0)))</f>
        <v/>
      </c>
      <c r="AA360" s="33" t="str">
        <f t="shared" si="338"/>
        <v>休</v>
      </c>
      <c r="AB360" s="227" t="str">
        <f t="shared" si="339"/>
        <v/>
      </c>
      <c r="AC360" s="227" t="str">
        <f t="shared" si="340"/>
        <v/>
      </c>
      <c r="AD360" s="228" t="str">
        <f>IF(K360=1,IF(ISERROR(VLOOKUP(M360,データ!$A$3:$C$23,2,FALSE)),"",VLOOKUP(M360,データ!$A$3:$C$23,2,FALSE)),(IF(ISERROR(VLOOKUP(M360,データ!$A$3:$C$23,2,FALSE)),"",VLOOKUP(M360,データ!$A$3:$C$23,2,FALSE))))</f>
        <v/>
      </c>
    </row>
    <row r="361" spans="1:30">
      <c r="A361" s="1">
        <f>IF(AND(M361&gt;=VLOOKUP(M361,データ!$K$3:$O$6,1,TRUE),M361&lt;=VLOOKUP(M361,データ!$K$3:$O$6,2,TRUE)),VLOOKUP(M361,データ!$K$3:$O$6,5,TRUE),"")</f>
        <v>1</v>
      </c>
      <c r="B361" s="74">
        <f>IF(AND(M361&gt;=VLOOKUP(M361,データ!$K$3:$O$6,1,TRUE),M361&lt;=VLOOKUP(M361,データ!$K$3:$O$6,2,TRUE)),VLOOKUP(M361,データ!$K$3:$O$6,3,TRUE),"")</f>
        <v>0.41666666666666669</v>
      </c>
      <c r="C361" s="1">
        <f>IF(AND(M361&gt;=VLOOKUP(M361,データ!$K$11:$O$16,1,TRUE),M361&lt;=VLOOKUP(M361,データ!$K$11:$O$16,2,TRUE)),VLOOKUP(M361,データ!$K$11:$O$16,5,TRUE),0)</f>
        <v>0</v>
      </c>
      <c r="D361" s="74" t="str">
        <f>IF(AND(M361&gt;=VLOOKUP(M361,データ!$K$11:$O$16,1,TRUE),M361&lt;=VLOOKUP(M361,データ!$K$11:$O$16,2,TRUE)),VLOOKUP(M361,データ!$K$11:$O$16,3,TRUE),"")</f>
        <v/>
      </c>
      <c r="E361" s="74">
        <f t="shared" si="330"/>
        <v>0.41666666666666669</v>
      </c>
      <c r="F361" s="75">
        <f>VLOOKUP(E361,データ!$K$20:$O$24,5,FALSE)</f>
        <v>0</v>
      </c>
      <c r="G361" s="74">
        <f>IF(AND(M361&gt;=VLOOKUP(M361,データ!$K$3:$O$6,1,TRUE),M361&lt;=VLOOKUP(M361,データ!$K$3:$O$6,2,TRUE)),VLOOKUP(M361,データ!$K$3:$O$6,4,TRUE),"")</f>
        <v>0.70833333333333337</v>
      </c>
      <c r="H361" s="256">
        <f>INDEX(データ!L$21:N$24,MATCH(配置表!E361,データ!K$21:K$24,0),MATCH(配置表!G361,データ!L$20:N$20,0))</f>
        <v>1</v>
      </c>
      <c r="I361" s="52" t="str">
        <f>IF(ISERROR(VLOOKUP(M361,データ!$A$3:$C$20,3,FALSE)),"",VLOOKUP(M361,データ!$A$3:$C$20,3,FALSE))</f>
        <v/>
      </c>
      <c r="J361" s="52" t="str">
        <f t="shared" si="331"/>
        <v/>
      </c>
      <c r="K361" s="53">
        <f t="shared" si="344"/>
        <v>0</v>
      </c>
      <c r="L361" s="28" t="str">
        <f t="shared" si="332"/>
        <v>閉</v>
      </c>
      <c r="M361" s="9">
        <f t="shared" si="345"/>
        <v>46078</v>
      </c>
      <c r="N361" s="10" t="str">
        <f t="shared" si="333"/>
        <v>水</v>
      </c>
      <c r="O361" s="63" t="str">
        <f>IF(AND(M361&gt;=VLOOKUP(M361,データ!$E$3:$G$9,1,TRUE),M361&lt;=VLOOKUP(M361,データ!$E$3:$G$9,2,TRUE)),VLOOKUP(M361,データ!$E$3:$G$9,3,TRUE),"")</f>
        <v/>
      </c>
      <c r="P361" s="63" t="str">
        <f>IF(AND(M361&gt;=VLOOKUP(M361,データ!$E$14:$G$21,1,TRUE),M361&lt;=VLOOKUP(M361,データ!$E$14:$G$21,2,TRUE)),VLOOKUP(M361,データ!$E$14:$G$21,3,TRUE),"")</f>
        <v/>
      </c>
      <c r="Q361" s="45" t="str">
        <f t="shared" si="334"/>
        <v>休</v>
      </c>
      <c r="R361" s="45"/>
      <c r="S361" s="33" t="str">
        <f t="shared" si="341"/>
        <v>休</v>
      </c>
      <c r="T361" s="10"/>
      <c r="U361" s="10" t="str">
        <f t="shared" si="342"/>
        <v>休</v>
      </c>
      <c r="V361" s="32"/>
      <c r="W361" s="33" t="str">
        <f t="shared" si="343"/>
        <v>休</v>
      </c>
      <c r="X361" s="32"/>
      <c r="Y361" s="33" t="str">
        <f t="shared" si="337"/>
        <v>休</v>
      </c>
      <c r="Z361" s="32" t="str">
        <f>IF(L361="閉","",(IF(AND(M361&gt;=VLOOKUP(M361,データ!$E$3:$G$9,1,TRUE),M361&lt;=VLOOKUP(M361,データ!$E$3:$G$9,2,TRUE)),VLOOKUP(M361,データ!$E$3:$H$9,4,TRUE),0)+IF(AND(M361&gt;=VLOOKUP(M361,データ!$E$14:$G$21,1,TRUE),M361&lt;=VLOOKUP(M361,データ!$E$14:$G$21,2,TRUE)),VLOOKUP(M361,データ!$E$14:$H$21,4,TRUE),0)))</f>
        <v/>
      </c>
      <c r="AA361" s="33" t="str">
        <f t="shared" si="338"/>
        <v>休</v>
      </c>
      <c r="AB361" s="227">
        <f t="shared" si="339"/>
        <v>0.41666666666666669</v>
      </c>
      <c r="AC361" s="227">
        <f t="shared" si="340"/>
        <v>0.70833333333333337</v>
      </c>
      <c r="AD361" s="228" t="str">
        <f>IF(K361=1,IF(ISERROR(VLOOKUP(M361,データ!$A$3:$C$23,2,FALSE)),"",VLOOKUP(M361,データ!$A$3:$C$23,2,FALSE)),(IF(ISERROR(VLOOKUP(M361,データ!$A$3:$C$23,2,FALSE)),"",VLOOKUP(M361,データ!$A$3:$C$23,2,FALSE))))</f>
        <v/>
      </c>
    </row>
    <row r="362" spans="1:30">
      <c r="A362" s="1">
        <f>IF(AND(M362&gt;=VLOOKUP(M362,データ!$K$3:$O$6,1,TRUE),M362&lt;=VLOOKUP(M362,データ!$K$3:$O$6,2,TRUE)),VLOOKUP(M362,データ!$K$3:$O$6,5,TRUE),"")</f>
        <v>1</v>
      </c>
      <c r="B362" s="74">
        <f>IF(AND(M362&gt;=VLOOKUP(M362,データ!$K$3:$O$6,1,TRUE),M362&lt;=VLOOKUP(M362,データ!$K$3:$O$6,2,TRUE)),VLOOKUP(M362,データ!$K$3:$O$6,3,TRUE),"")</f>
        <v>0.41666666666666669</v>
      </c>
      <c r="C362" s="1">
        <f>IF(AND(M362&gt;=VLOOKUP(M362,データ!$K$11:$O$16,1,TRUE),M362&lt;=VLOOKUP(M362,データ!$K$11:$O$16,2,TRUE)),VLOOKUP(M362,データ!$K$11:$O$16,5,TRUE),0)</f>
        <v>0</v>
      </c>
      <c r="D362" s="74" t="str">
        <f>IF(AND(M362&gt;=VLOOKUP(M362,データ!$K$11:$O$16,1,TRUE),M362&lt;=VLOOKUP(M362,データ!$K$11:$O$16,2,TRUE)),VLOOKUP(M362,データ!$K$11:$O$16,3,TRUE),"")</f>
        <v/>
      </c>
      <c r="E362" s="74">
        <f t="shared" si="330"/>
        <v>0.41666666666666669</v>
      </c>
      <c r="F362" s="75">
        <f>VLOOKUP(E362,データ!$K$20:$O$24,5,FALSE)</f>
        <v>0</v>
      </c>
      <c r="G362" s="74">
        <f>IF(AND(M362&gt;=VLOOKUP(M362,データ!$K$3:$O$6,1,TRUE),M362&lt;=VLOOKUP(M362,データ!$K$3:$O$6,2,TRUE)),VLOOKUP(M362,データ!$K$3:$O$6,4,TRUE),"")</f>
        <v>0.70833333333333337</v>
      </c>
      <c r="H362" s="256">
        <f>INDEX(データ!L$21:N$24,MATCH(配置表!E362,データ!K$21:K$24,0),MATCH(配置表!G362,データ!L$20:N$20,0))</f>
        <v>1</v>
      </c>
      <c r="I362" s="52" t="str">
        <f>IF(ISERROR(VLOOKUP(M362,データ!$A$3:$C$20,3,FALSE)),"",VLOOKUP(M362,データ!$A$3:$C$20,3,FALSE))</f>
        <v/>
      </c>
      <c r="J362" s="52" t="str">
        <f t="shared" si="331"/>
        <v/>
      </c>
      <c r="K362" s="53">
        <f t="shared" si="344"/>
        <v>0</v>
      </c>
      <c r="L362" s="28" t="str">
        <f>IF(AND(O362="",P362=""),"閉",IF(K362=1,"閉",""))</f>
        <v>閉</v>
      </c>
      <c r="M362" s="9">
        <f t="shared" si="345"/>
        <v>46079</v>
      </c>
      <c r="N362" s="10" t="str">
        <f t="shared" si="333"/>
        <v>木</v>
      </c>
      <c r="O362" s="63" t="str">
        <f>IF(AND(M362&gt;=VLOOKUP(M362,データ!$E$3:$G$9,1,TRUE),M362&lt;=VLOOKUP(M362,データ!$E$3:$G$9,2,TRUE)),VLOOKUP(M362,データ!$E$3:$G$9,3,TRUE),"")</f>
        <v/>
      </c>
      <c r="P362" s="63" t="str">
        <f>IF(AND(M362&gt;=VLOOKUP(M362,データ!$E$14:$G$21,1,TRUE),M362&lt;=VLOOKUP(M362,データ!$E$14:$G$21,2,TRUE)),VLOOKUP(M362,データ!$E$14:$G$21,3,TRUE),"")</f>
        <v/>
      </c>
      <c r="Q362" s="45" t="str">
        <f t="shared" si="334"/>
        <v>休</v>
      </c>
      <c r="R362" s="45"/>
      <c r="S362" s="33" t="str">
        <f t="shared" si="341"/>
        <v>休</v>
      </c>
      <c r="T362" s="10"/>
      <c r="U362" s="10" t="str">
        <f t="shared" si="342"/>
        <v>休</v>
      </c>
      <c r="V362" s="32"/>
      <c r="W362" s="33" t="str">
        <f t="shared" si="343"/>
        <v>休</v>
      </c>
      <c r="X362" s="32"/>
      <c r="Y362" s="33" t="str">
        <f t="shared" si="337"/>
        <v>休</v>
      </c>
      <c r="Z362" s="32" t="str">
        <f>IF(L362="閉","",(IF(AND(M362&gt;=VLOOKUP(M362,データ!$E$3:$G$9,1,TRUE),M362&lt;=VLOOKUP(M362,データ!$E$3:$G$9,2,TRUE)),VLOOKUP(M362,データ!$E$3:$H$9,4,TRUE),0)+IF(AND(M362&gt;=VLOOKUP(M362,データ!$E$14:$G$21,1,TRUE),M362&lt;=VLOOKUP(M362,データ!$E$14:$G$21,2,TRUE)),VLOOKUP(M362,データ!$E$14:$H$21,4,TRUE),0)))</f>
        <v/>
      </c>
      <c r="AA362" s="33" t="str">
        <f t="shared" si="338"/>
        <v>休</v>
      </c>
      <c r="AB362" s="227">
        <f t="shared" si="339"/>
        <v>0.41666666666666669</v>
      </c>
      <c r="AC362" s="227">
        <f t="shared" si="340"/>
        <v>0.70833333333333337</v>
      </c>
      <c r="AD362" s="228" t="str">
        <f>IF(K362=1,IF(ISERROR(VLOOKUP(M362,データ!$A$3:$C$23,2,FALSE)),"",VLOOKUP(M362,データ!$A$3:$C$23,2,FALSE)),(IF(ISERROR(VLOOKUP(M362,データ!$A$3:$C$23,2,FALSE)),"",VLOOKUP(M362,データ!$A$3:$C$23,2,FALSE))))</f>
        <v/>
      </c>
    </row>
    <row r="363" spans="1:30">
      <c r="A363" s="1">
        <f>IF(AND(M363&gt;=VLOOKUP(M363,データ!$K$3:$O$6,1,TRUE),M363&lt;=VLOOKUP(M363,データ!$K$3:$O$6,2,TRUE)),VLOOKUP(M363,データ!$K$3:$O$6,5,TRUE),"")</f>
        <v>1</v>
      </c>
      <c r="B363" s="74">
        <f>IF(AND(M363&gt;=VLOOKUP(M363,データ!$K$3:$O$6,1,TRUE),M363&lt;=VLOOKUP(M363,データ!$K$3:$O$6,2,TRUE)),VLOOKUP(M363,データ!$K$3:$O$6,3,TRUE),"")</f>
        <v>0.41666666666666669</v>
      </c>
      <c r="C363" s="1">
        <f>IF(AND(M363&gt;=VLOOKUP(M363,データ!$K$11:$O$16,1,TRUE),M363&lt;=VLOOKUP(M363,データ!$K$11:$O$16,2,TRUE)),VLOOKUP(M363,データ!$K$11:$O$16,5,TRUE),0)</f>
        <v>0</v>
      </c>
      <c r="D363" s="74" t="str">
        <f>IF(AND(M363&gt;=VLOOKUP(M363,データ!$K$11:$O$16,1,TRUE),M363&lt;=VLOOKUP(M363,データ!$K$11:$O$16,2,TRUE)),VLOOKUP(M363,データ!$K$11:$O$16,3,TRUE),"")</f>
        <v/>
      </c>
      <c r="E363" s="74">
        <f t="shared" si="330"/>
        <v>0.41666666666666669</v>
      </c>
      <c r="F363" s="75">
        <f>VLOOKUP(E363,データ!$K$20:$O$24,5,FALSE)</f>
        <v>0</v>
      </c>
      <c r="G363" s="74">
        <f>IF(AND(M363&gt;=VLOOKUP(M363,データ!$K$3:$O$6,1,TRUE),M363&lt;=VLOOKUP(M363,データ!$K$3:$O$6,2,TRUE)),VLOOKUP(M363,データ!$K$3:$O$6,4,TRUE),"")</f>
        <v>0.70833333333333337</v>
      </c>
      <c r="H363" s="256">
        <f>INDEX(データ!L$21:N$24,MATCH(配置表!E363,データ!K$21:K$24,0),MATCH(配置表!G363,データ!L$20:N$20,0))</f>
        <v>1</v>
      </c>
      <c r="I363" s="52" t="str">
        <f>IF(ISERROR(VLOOKUP(M363,データ!$A$3:$C$20,3,FALSE)),"",VLOOKUP(M363,データ!$A$3:$C$20,3,FALSE))</f>
        <v/>
      </c>
      <c r="J363" s="52" t="str">
        <f t="shared" si="331"/>
        <v/>
      </c>
      <c r="K363" s="53">
        <f t="shared" si="344"/>
        <v>0</v>
      </c>
      <c r="L363" s="28" t="str">
        <f t="shared" ref="L363:L364" si="354">IF(AND(O363="",P363=""),"閉",IF(K363=1,"閉",""))</f>
        <v>閉</v>
      </c>
      <c r="M363" s="9">
        <f t="shared" si="345"/>
        <v>46080</v>
      </c>
      <c r="N363" s="10" t="str">
        <f t="shared" si="333"/>
        <v>金</v>
      </c>
      <c r="O363" s="63" t="str">
        <f>IF(AND(M363&gt;=VLOOKUP(M363,データ!$E$3:$G$9,1,TRUE),M363&lt;=VLOOKUP(M363,データ!$E$3:$G$9,2,TRUE)),VLOOKUP(M363,データ!$E$3:$G$9,3,TRUE),"")</f>
        <v/>
      </c>
      <c r="P363" s="63" t="str">
        <f>IF(AND(M363&gt;=VLOOKUP(M363,データ!$E$14:$G$21,1,TRUE),M363&lt;=VLOOKUP(M363,データ!$E$14:$G$21,2,TRUE)),VLOOKUP(M363,データ!$E$14:$G$21,3,TRUE),"")</f>
        <v/>
      </c>
      <c r="Q363" s="45" t="str">
        <f t="shared" si="334"/>
        <v>休</v>
      </c>
      <c r="R363" s="45"/>
      <c r="S363" s="33" t="str">
        <f t="shared" si="341"/>
        <v>休</v>
      </c>
      <c r="T363" s="10"/>
      <c r="U363" s="10" t="str">
        <f t="shared" si="342"/>
        <v>休</v>
      </c>
      <c r="V363" s="32"/>
      <c r="W363" s="33" t="str">
        <f t="shared" si="343"/>
        <v>休</v>
      </c>
      <c r="X363" s="32"/>
      <c r="Y363" s="33" t="str">
        <f t="shared" si="337"/>
        <v>休</v>
      </c>
      <c r="Z363" s="32" t="str">
        <f>IF(L363="閉","",(IF(AND(M363&gt;=VLOOKUP(M363,データ!$E$3:$G$9,1,TRUE),M363&lt;=VLOOKUP(M363,データ!$E$3:$G$9,2,TRUE)),VLOOKUP(M363,データ!$E$3:$H$9,4,TRUE),0)+IF(AND(M363&gt;=VLOOKUP(M363,データ!$E$14:$G$21,1,TRUE),M363&lt;=VLOOKUP(M363,データ!$E$14:$G$21,2,TRUE)),VLOOKUP(M363,データ!$E$14:$H$21,4,TRUE),0)))</f>
        <v/>
      </c>
      <c r="AA363" s="33" t="str">
        <f t="shared" si="338"/>
        <v>休</v>
      </c>
      <c r="AB363" s="227">
        <f t="shared" si="339"/>
        <v>0.41666666666666669</v>
      </c>
      <c r="AC363" s="227">
        <f t="shared" si="340"/>
        <v>0.70833333333333337</v>
      </c>
      <c r="AD363" s="228" t="str">
        <f>IF(K363=1,IF(ISERROR(VLOOKUP(M363,データ!$A$3:$C$23,2,FALSE)),"",VLOOKUP(M363,データ!$A$3:$C$23,2,FALSE)),(IF(ISERROR(VLOOKUP(M363,データ!$A$3:$C$23,2,FALSE)),"",VLOOKUP(M363,データ!$A$3:$C$23,2,FALSE))))</f>
        <v/>
      </c>
    </row>
    <row r="364" spans="1:30">
      <c r="A364" s="1">
        <f>IF(AND(M364&gt;=VLOOKUP(M364,データ!$K$3:$O$6,1,TRUE),M364&lt;=VLOOKUP(M364,データ!$K$3:$O$6,2,TRUE)),VLOOKUP(M364,データ!$K$3:$O$6,5,TRUE),"")</f>
        <v>1</v>
      </c>
      <c r="B364" s="74">
        <f>IF(AND(M364&gt;=VLOOKUP(M364,データ!$K$3:$O$6,1,TRUE),M364&lt;=VLOOKUP(M364,データ!$K$3:$O$6,2,TRUE)),VLOOKUP(M364,データ!$K$3:$O$6,3,TRUE),"")</f>
        <v>0.41666666666666669</v>
      </c>
      <c r="C364" s="1">
        <f>IF(AND(M364&gt;=VLOOKUP(M364,データ!$K$11:$O$16,1,TRUE),M364&lt;=VLOOKUP(M364,データ!$K$11:$O$16,2,TRUE)),VLOOKUP(M364,データ!$K$11:$O$16,5,TRUE),0)</f>
        <v>0</v>
      </c>
      <c r="D364" s="74" t="str">
        <f>IF(AND(M364&gt;=VLOOKUP(M364,データ!$K$11:$O$16,1,TRUE),M364&lt;=VLOOKUP(M364,データ!$K$11:$O$16,2,TRUE)),VLOOKUP(M364,データ!$K$11:$O$16,3,TRUE),"")</f>
        <v/>
      </c>
      <c r="E364" s="74">
        <f t="shared" ref="E364" si="355">IF(C364=2,IF(OR(N364="土",N364="日"),D364,B364),IF(C364=1,D364,B364))</f>
        <v>0.41666666666666669</v>
      </c>
      <c r="F364" s="75">
        <f>VLOOKUP(E364,データ!$K$20:$O$24,5,FALSE)</f>
        <v>0</v>
      </c>
      <c r="G364" s="74">
        <f>IF(AND(M364&gt;=VLOOKUP(M364,データ!$K$3:$O$6,1,TRUE),M364&lt;=VLOOKUP(M364,データ!$K$3:$O$6,2,TRUE)),VLOOKUP(M364,データ!$K$3:$O$6,4,TRUE),"")</f>
        <v>0.70833333333333337</v>
      </c>
      <c r="H364" s="256">
        <f>INDEX(データ!L$21:N$24,MATCH(配置表!E364,データ!K$21:K$24,0),MATCH(配置表!G364,データ!L$20:N$20,0))</f>
        <v>1</v>
      </c>
      <c r="I364" s="52" t="str">
        <f>IF(ISERROR(VLOOKUP(M364,データ!$A$3:$C$20,3,FALSE)),"",VLOOKUP(M364,データ!$A$3:$C$20,3,FALSE))</f>
        <v/>
      </c>
      <c r="J364" s="52" t="str">
        <f t="shared" ref="J364" si="356">IF(N364="月",1,"")</f>
        <v/>
      </c>
      <c r="K364" s="53">
        <f t="shared" si="344"/>
        <v>0</v>
      </c>
      <c r="L364" s="28" t="str">
        <f t="shared" si="354"/>
        <v>閉</v>
      </c>
      <c r="M364" s="9">
        <f t="shared" si="345"/>
        <v>46081</v>
      </c>
      <c r="N364" s="10" t="str">
        <f t="shared" si="333"/>
        <v>土</v>
      </c>
      <c r="O364" s="63" t="str">
        <f>IF(AND(M364&gt;=VLOOKUP(M364,データ!$E$3:$G$9,1,TRUE),M364&lt;=VLOOKUP(M364,データ!$E$3:$G$9,2,TRUE)),VLOOKUP(M364,データ!$E$3:$G$9,3,TRUE),"")</f>
        <v/>
      </c>
      <c r="P364" s="63" t="str">
        <f>IF(AND(M364&gt;=VLOOKUP(M364,データ!$E$14:$G$21,1,TRUE),M364&lt;=VLOOKUP(M364,データ!$E$14:$G$21,2,TRUE)),VLOOKUP(M364,データ!$E$14:$G$21,3,TRUE),"")</f>
        <v/>
      </c>
      <c r="Q364" s="45" t="str">
        <f t="shared" si="334"/>
        <v>休</v>
      </c>
      <c r="R364" s="45"/>
      <c r="S364" s="33" t="str">
        <f t="shared" si="341"/>
        <v>休</v>
      </c>
      <c r="T364" s="10"/>
      <c r="U364" s="10" t="str">
        <f t="shared" si="342"/>
        <v>休</v>
      </c>
      <c r="V364" s="32"/>
      <c r="W364" s="33" t="str">
        <f t="shared" si="343"/>
        <v>休</v>
      </c>
      <c r="X364" s="32"/>
      <c r="Y364" s="33" t="str">
        <f t="shared" si="337"/>
        <v>休</v>
      </c>
      <c r="Z364" s="32" t="str">
        <f>IF(L364="閉","",(IF(AND(M364&gt;=VLOOKUP(M364,データ!$E$3:$G$9,1,TRUE),M364&lt;=VLOOKUP(M364,データ!$E$3:$G$9,2,TRUE)),VLOOKUP(M364,データ!$E$3:$H$9,4,TRUE),0)+IF(AND(M364&gt;=VLOOKUP(M364,データ!$E$14:$G$21,1,TRUE),M364&lt;=VLOOKUP(M364,データ!$E$14:$G$21,2,TRUE)),VLOOKUP(M364,データ!$E$14:$H$21,4,TRUE),0)))</f>
        <v/>
      </c>
      <c r="AA364" s="33" t="str">
        <f t="shared" si="338"/>
        <v>休</v>
      </c>
      <c r="AB364" s="227">
        <f t="shared" si="339"/>
        <v>0.41666666666666669</v>
      </c>
      <c r="AC364" s="227">
        <f t="shared" si="340"/>
        <v>0.70833333333333337</v>
      </c>
      <c r="AD364" s="228" t="str">
        <f>IF(K364=1,IF(ISERROR(VLOOKUP(M364,データ!$A$3:$C$23,2,FALSE)),"",VLOOKUP(M364,データ!$A$3:$C$23,2,FALSE)),(IF(ISERROR(VLOOKUP(M364,データ!$A$3:$C$23,2,FALSE)),"",VLOOKUP(M364,データ!$A$3:$C$23,2,FALSE))))</f>
        <v/>
      </c>
    </row>
    <row r="365" spans="1:30" ht="12" thickBot="1">
      <c r="A365" s="1" t="str">
        <f>IF(M365="","",IF(AND(M365&gt;=VLOOKUP(M365,データ!$K$3:$O$6,1,TRUE),M365&lt;=VLOOKUP(M365,データ!$K$3:$O$6,2,TRUE)),VLOOKUP(M365,データ!$K$3:$O$6,5,TRUE),""))</f>
        <v/>
      </c>
      <c r="B365" s="74" t="str">
        <f>IF(M365="","",IF(AND(M365&gt;=VLOOKUP(M365,データ!$K$3:$O$6,1,TRUE),M365&lt;=VLOOKUP(M365,データ!$K$3:$O$6,2,TRUE)),VLOOKUP(M365,データ!$K$3:$O$6,3,TRUE),""))</f>
        <v/>
      </c>
      <c r="C365" s="1" t="str">
        <f>IF(M365="","",IF(AND(M365&gt;=VLOOKUP(M365,データ!$K$11:$O$16,1,TRUE),M365&lt;=VLOOKUP(M365,データ!$K$11:$O$16,2,TRUE)),VLOOKUP(M365,データ!$K$11:$O$16,5,TRUE),0))</f>
        <v/>
      </c>
      <c r="D365" s="74" t="str">
        <f>IF(M365="","",IF(AND(M365&gt;=VLOOKUP(M365,データ!$K$11:$O$16,1,TRUE),M365&lt;=VLOOKUP(M365,データ!$K$11:$O$16,2,TRUE)),VLOOKUP(M365,データ!$K$11:$O$16,3,TRUE),""))</f>
        <v/>
      </c>
      <c r="E365" s="74" t="str">
        <f t="shared" ref="E365" si="357">IF(C365=2,IF(OR(N365="土",N365="日"),D365,B365),IF(C365=1,D365,B365))</f>
        <v/>
      </c>
      <c r="F365" s="75" t="str">
        <f>IF(M365="","",VLOOKUP(E365,データ!$K$20:$O$24,5,FALSE))</f>
        <v/>
      </c>
      <c r="G365" s="74" t="str">
        <f>IF(M365="","",IF(AND(M365&gt;=VLOOKUP(M365,データ!$K$3:$O$6,1,TRUE),M365&lt;=VLOOKUP(M365,データ!$K$3:$O$6,2,TRUE)),VLOOKUP(M365,データ!$K$3:$O$6,4,TRUE),""))</f>
        <v/>
      </c>
      <c r="H365" s="259" t="str">
        <f>IF(M365="","",INDEX(データ!L$21:N$24,MATCH(配置表!E365,データ!K$21:K$24,0),MATCH(配置表!G365,データ!L$20:N$20,0)))</f>
        <v/>
      </c>
      <c r="I365" s="52" t="str">
        <f>IF(ISERROR(VLOOKUP(M365,データ!$A$3:$C$20,3,FALSE)),"",VLOOKUP(M365,データ!$A$3:$C$20,3,FALSE))</f>
        <v/>
      </c>
      <c r="J365" s="52" t="str">
        <f>IF(M365="","",IF(N365="月",1,""))</f>
        <v/>
      </c>
      <c r="K365" s="53" t="str">
        <f>IF(M365="","",IF(K364=2,IF(I365=1,2,1),IF(I365=1,IF(J365=1,2,0),IF(J365=1,1,0))))</f>
        <v/>
      </c>
      <c r="L365" s="28" t="str">
        <f>IF(M365="","",IF(AND(O365="",P365=""),"閉",IF(K365=1,"閉","")))</f>
        <v/>
      </c>
      <c r="M365" s="29" t="str">
        <f>IF(EOMONTH(M337,0)=M364,"",M364+1)</f>
        <v/>
      </c>
      <c r="N365" s="22" t="str">
        <f>IF(M365="","",TEXT(WEEKDAY(M365,1),"aaa"))</f>
        <v/>
      </c>
      <c r="O365" s="65" t="str">
        <f>IF(M365="","",IF(AND(M365&gt;=VLOOKUP(M365,データ!$E$3:$G$9,1,TRUE),M365&lt;=VLOOKUP(M365,データ!$E$3:$G$9,2,TRUE)),VLOOKUP(M365,データ!$E$3:$G$9,3,TRUE),""))</f>
        <v/>
      </c>
      <c r="P365" s="65" t="str">
        <f>IF(M365="","",IF(AND(M365&gt;=VLOOKUP(M365,データ!$E$14:$G$21,1,TRUE),M365&lt;=VLOOKUP(M365,データ!$E$14:$G$21,2,TRUE)),VLOOKUP(M365,データ!$E$14:$G$21,3,TRUE),""))</f>
        <v/>
      </c>
      <c r="Q365" s="41" t="str">
        <f>IF(M365="","",IF(L365="閉","休","●"))</f>
        <v/>
      </c>
      <c r="R365" s="41"/>
      <c r="S365" s="34" t="str">
        <f t="shared" si="341"/>
        <v/>
      </c>
      <c r="T365" s="22"/>
      <c r="U365" s="22" t="str">
        <f>IF(M365="","",IF(L365="閉","休",IF(S365="","●","○")))</f>
        <v/>
      </c>
      <c r="V365" s="23"/>
      <c r="W365" s="34" t="str">
        <f t="shared" si="343"/>
        <v/>
      </c>
      <c r="X365" s="23"/>
      <c r="Y365" s="34" t="str">
        <f>IF(M365="","",IF(L365="閉","休",IF(H365=1,"○",IF(H365=2,"●","Err"))))</f>
        <v/>
      </c>
      <c r="Z365" s="23" t="str">
        <f>IF(M365="","",IF(L365="閉","",(IF(AND(M365&gt;=VLOOKUP(M365,データ!$E$3:$G$9,1,TRUE),M365&lt;=VLOOKUP(M365,データ!$E$3:$G$9,2,TRUE)),VLOOKUP(M365,データ!$E$3:$H$9,4,TRUE),0)+IF(AND(M365&gt;=VLOOKUP(M365,データ!$E$14:$G$21,1,TRUE),M365&lt;=VLOOKUP(M365,データ!$E$14:$G$21,2,TRUE)),VLOOKUP(M365,データ!$E$14:$H$21,4,TRUE),0))))</f>
        <v/>
      </c>
      <c r="AA365" s="34" t="str">
        <f>IF(M365="","",IF(L365="閉","休",IF(O365="","△",IF(H365=1,"○",IF(H365=2,"●","Err")))))</f>
        <v/>
      </c>
      <c r="AB365" s="233" t="str">
        <f t="shared" si="339"/>
        <v/>
      </c>
      <c r="AC365" s="233" t="str">
        <f t="shared" si="340"/>
        <v/>
      </c>
      <c r="AD365" s="231" t="str">
        <f>IF(K365=1,IF(ISERROR(VLOOKUP(M365,データ!$A$3:$C$23,2,FALSE)),"",VLOOKUP(M365,データ!$A$3:$C$23,2,FALSE)),(IF(ISERROR(VLOOKUP(M365,データ!$A$3:$C$23,2,FALSE)),"",VLOOKUP(M365,データ!$A$3:$C$23,2,FALSE))))</f>
        <v/>
      </c>
    </row>
    <row r="366" spans="1:30" ht="14.25" thickBot="1">
      <c r="H366" s="256"/>
      <c r="I366" s="52"/>
      <c r="J366" s="52"/>
      <c r="K366" s="53"/>
      <c r="L366" s="19" t="str">
        <f t="shared" si="329"/>
        <v/>
      </c>
      <c r="M366" s="51"/>
      <c r="N366" s="27"/>
      <c r="O366" s="27"/>
      <c r="P366" s="27"/>
      <c r="Q366" s="50"/>
      <c r="R366" s="50"/>
      <c r="S366" s="50"/>
      <c r="T366" s="37"/>
      <c r="U366" s="37"/>
      <c r="V366" s="50"/>
      <c r="W366" s="50"/>
      <c r="X366" s="50"/>
      <c r="Y366" s="50"/>
      <c r="Z366" s="50"/>
      <c r="AA366" s="50"/>
      <c r="AB366" s="225" t="str">
        <f>IF(ISERROR(VLOOKUP(M366,データ!$A$3:$C$23,2,FALSE)),"",VLOOKUP(M366,データ!$A$3:$C$23,2,FALSE))</f>
        <v/>
      </c>
      <c r="AC366" s="2"/>
    </row>
    <row r="367" spans="1:30" customFormat="1" ht="27.75" customHeight="1" thickBot="1">
      <c r="H367" s="257"/>
      <c r="I367" s="52"/>
      <c r="J367" s="52"/>
      <c r="K367" s="53"/>
      <c r="L367" s="28" t="str">
        <f t="shared" si="329"/>
        <v/>
      </c>
      <c r="M367" s="58"/>
      <c r="N367" s="59"/>
      <c r="O367" s="42" t="s">
        <v>5</v>
      </c>
      <c r="P367" s="42" t="s">
        <v>6</v>
      </c>
      <c r="Q367" s="49" t="s">
        <v>8</v>
      </c>
      <c r="R367" s="354" t="s">
        <v>13</v>
      </c>
      <c r="S367" s="355"/>
      <c r="T367" s="354" t="s">
        <v>14</v>
      </c>
      <c r="U367" s="356"/>
      <c r="V367" s="354" t="s">
        <v>9</v>
      </c>
      <c r="W367" s="355"/>
      <c r="X367" s="354" t="s">
        <v>10</v>
      </c>
      <c r="Y367" s="355"/>
      <c r="Z367" s="354" t="s">
        <v>1</v>
      </c>
      <c r="AA367" s="355"/>
      <c r="AB367" s="38" t="s">
        <v>114</v>
      </c>
      <c r="AC367" s="38" t="s">
        <v>35</v>
      </c>
      <c r="AD367" s="38" t="s">
        <v>116</v>
      </c>
    </row>
    <row r="368" spans="1:30">
      <c r="A368" s="1">
        <f>IF(AND(M368&gt;=VLOOKUP(M368,データ!$K$3:$O$6,1,TRUE),M368&lt;=VLOOKUP(M368,データ!$K$3:$O$6,2,TRUE)),VLOOKUP(M368,データ!$K$3:$O$6,5,TRUE),"")</f>
        <v>1</v>
      </c>
      <c r="B368" s="74">
        <f>IF(AND(M368&gt;=VLOOKUP(M368,データ!$K$3:$O$6,1,TRUE),M368&lt;=VLOOKUP(M368,データ!$K$3:$O$6,2,TRUE)),VLOOKUP(M368,データ!$K$3:$O$6,3,TRUE),"")</f>
        <v>0.41666666666666669</v>
      </c>
      <c r="C368" s="1">
        <f>IF(AND(M368&gt;=VLOOKUP(M368,データ!$K$11:$O$16,1,TRUE),M368&lt;=VLOOKUP(M368,データ!$K$11:$O$16,2,TRUE)),VLOOKUP(M368,データ!$K$11:$O$16,5,TRUE),0)</f>
        <v>0</v>
      </c>
      <c r="D368" s="74" t="str">
        <f>IF(AND(M368&gt;=VLOOKUP(M368,データ!$K$11:$O$16,1,TRUE),M368&lt;=VLOOKUP(M368,データ!$K$11:$O$16,2,TRUE)),VLOOKUP(M368,データ!$K$11:$O$16,3,TRUE),"")</f>
        <v/>
      </c>
      <c r="E368" s="74">
        <f t="shared" ref="E368:E398" si="358">IF(C368=2,IF(OR(N368="土",N368="日"),D368,B368),IF(C368=1,D368,B368))</f>
        <v>0.41666666666666669</v>
      </c>
      <c r="F368" s="75">
        <f>VLOOKUP(E368,データ!$K$20:$O$24,5,FALSE)</f>
        <v>0</v>
      </c>
      <c r="G368" s="74">
        <f>IF(AND(M368&gt;=VLOOKUP(M368,データ!$K$3:$O$6,1,TRUE),M368&lt;=VLOOKUP(M368,データ!$K$3:$O$6,2,TRUE)),VLOOKUP(M368,データ!$K$3:$O$6,4,TRUE),"")</f>
        <v>0.70833333333333337</v>
      </c>
      <c r="H368" s="256">
        <f>INDEX(データ!L$21:N$24,MATCH(配置表!E368,データ!K$21:K$24,0),MATCH(配置表!G368,データ!L$20:N$20,0))</f>
        <v>1</v>
      </c>
      <c r="I368" s="52" t="str">
        <f>IF(ISERROR(VLOOKUP(M368,データ!$A$3:$C$20,3,FALSE)),"",VLOOKUP(M368,データ!$A$3:$C$20,3,FALSE))</f>
        <v/>
      </c>
      <c r="J368" s="52" t="str">
        <f t="shared" ref="J368:J398" si="359">IF(N368="月",1,"")</f>
        <v/>
      </c>
      <c r="K368" s="53">
        <f>IF(K365=2,IF(I368=1,2,1),IF(I368=1,IF(J368=1,2,0),IF(J368=1,1,0)))</f>
        <v>0</v>
      </c>
      <c r="L368" s="28" t="str">
        <f t="shared" ref="L368:L398" si="360">IF(AND(O368="",P368=""),"閉",IF(K368=1,"閉",""))</f>
        <v>閉</v>
      </c>
      <c r="M368" s="25">
        <f>IF(M365="",M364+1,M365+1)</f>
        <v>46082</v>
      </c>
      <c r="N368" s="24" t="str">
        <f>TEXT(WEEKDAY(M368,1),"aaa")</f>
        <v>日</v>
      </c>
      <c r="O368" s="70" t="str">
        <f>IF(AND(M368&gt;=VLOOKUP(M368,データ!$E$3:$G$9,1,TRUE),M368&lt;=VLOOKUP(M368,データ!$E$3:$G$9,2,TRUE)),VLOOKUP(M368,データ!$E$3:$G$9,3,TRUE),"")</f>
        <v/>
      </c>
      <c r="P368" s="70" t="str">
        <f>IF(AND(M368&gt;=VLOOKUP(M368,データ!$E$14:$G$21,1,TRUE),M368&lt;=VLOOKUP(M368,データ!$E$14:$G$21,2,TRUE)),VLOOKUP(M368,データ!$E$14:$G$21,3,TRUE),"")</f>
        <v/>
      </c>
      <c r="Q368" s="46" t="str">
        <f t="shared" ref="Q368:Q398" si="361">IF(L368="閉","休","○")</f>
        <v>休</v>
      </c>
      <c r="R368" s="46"/>
      <c r="S368" s="47" t="str">
        <f t="shared" ref="S368:S397" si="362">IF(L368="閉","休",IF(O368="","",IF(O368="冬　特別展",IF(OR(N368="土",N368="日",I368=1),"○",""),"○")))</f>
        <v>休</v>
      </c>
      <c r="T368" s="24"/>
      <c r="U368" s="24" t="str">
        <f t="shared" ref="U368:U397" si="363">IF(L368="閉","休",IF(S368="","●","●"))</f>
        <v>休</v>
      </c>
      <c r="V368" s="35"/>
      <c r="W368" s="47" t="str">
        <f t="shared" ref="W368:W397" si="364">IF(L368="閉","休",IF(O368="","",IF(OR(N368="土",N368="日",I368=1),IF(OR(O368="ダミー　特別展",O368="ダミー　特別展"),"◎",IF(OR(O368="夏　特別展",O368="秋　特別展",O368="春　特別展"),"○","")),"")))</f>
        <v>休</v>
      </c>
      <c r="X368" s="35"/>
      <c r="Y368" s="47" t="str">
        <f t="shared" ref="Y368:Y398" si="365">IF(L368="閉","休",IF(H368=1,"○",IF(H368=2,"●","Err")))</f>
        <v>休</v>
      </c>
      <c r="Z368" s="35" t="str">
        <f>IF(L368="閉","",(IF(AND(M368&gt;=VLOOKUP(M368,データ!$E$3:$G$9,1,TRUE),M368&lt;=VLOOKUP(M368,データ!$E$3:$G$9,2,TRUE)),VLOOKUP(M368,データ!$E$3:$H$9,4,TRUE),0)+IF(AND(M368&gt;=VLOOKUP(M368,データ!$E$14:$G$21,1,TRUE),M368&lt;=VLOOKUP(M368,データ!$E$14:$G$21,2,TRUE)),VLOOKUP(M368,データ!$E$14:$H$21,4,TRUE),0)))</f>
        <v/>
      </c>
      <c r="AA368" s="47" t="str">
        <f t="shared" ref="AA368:AA398" si="366">IF(L368="閉","休",IF(O368="","△",IF(H368=1,"○",IF(H368=2,"●","Err"))))</f>
        <v>休</v>
      </c>
      <c r="AB368" s="232">
        <f t="shared" ref="AB368:AB398" si="367">IF(K368=1,"",E368)</f>
        <v>0.41666666666666669</v>
      </c>
      <c r="AC368" s="232">
        <f t="shared" ref="AC368:AC398" si="368">IF(K368=1,"",G368)</f>
        <v>0.70833333333333337</v>
      </c>
      <c r="AD368" s="226" t="str">
        <f>IF(K368=1,IF(ISERROR(VLOOKUP(M368,データ!$A$3:$C$23,2,FALSE)),"",VLOOKUP(M368,データ!$A$3:$C$23,2,FALSE)),(IF(ISERROR(VLOOKUP(M368,データ!$A$3:$C$23,2,FALSE)),"",VLOOKUP(M368,データ!$A$3:$C$23,2,FALSE))))</f>
        <v/>
      </c>
    </row>
    <row r="369" spans="1:30">
      <c r="A369" s="1">
        <f>IF(AND(M369&gt;=VLOOKUP(M369,データ!$K$3:$O$6,1,TRUE),M369&lt;=VLOOKUP(M369,データ!$K$3:$O$6,2,TRUE)),VLOOKUP(M369,データ!$K$3:$O$6,5,TRUE),"")</f>
        <v>1</v>
      </c>
      <c r="B369" s="74">
        <f>IF(AND(M369&gt;=VLOOKUP(M369,データ!$K$3:$O$6,1,TRUE),M369&lt;=VLOOKUP(M369,データ!$K$3:$O$6,2,TRUE)),VLOOKUP(M369,データ!$K$3:$O$6,3,TRUE),"")</f>
        <v>0.41666666666666669</v>
      </c>
      <c r="C369" s="1">
        <f>IF(AND(M369&gt;=VLOOKUP(M369,データ!$K$11:$O$16,1,TRUE),M369&lt;=VLOOKUP(M369,データ!$K$11:$O$16,2,TRUE)),VLOOKUP(M369,データ!$K$11:$O$16,5,TRUE),0)</f>
        <v>0</v>
      </c>
      <c r="D369" s="74" t="str">
        <f>IF(AND(M369&gt;=VLOOKUP(M369,データ!$K$11:$O$16,1,TRUE),M369&lt;=VLOOKUP(M369,データ!$K$11:$O$16,2,TRUE)),VLOOKUP(M369,データ!$K$11:$O$16,3,TRUE),"")</f>
        <v/>
      </c>
      <c r="E369" s="74">
        <f t="shared" si="358"/>
        <v>0.41666666666666669</v>
      </c>
      <c r="F369" s="75">
        <f>VLOOKUP(E369,データ!$K$20:$O$24,5,FALSE)</f>
        <v>0</v>
      </c>
      <c r="G369" s="74">
        <f>IF(AND(M369&gt;=VLOOKUP(M369,データ!$K$3:$O$6,1,TRUE),M369&lt;=VLOOKUP(M369,データ!$K$3:$O$6,2,TRUE)),VLOOKUP(M369,データ!$K$3:$O$6,4,TRUE),"")</f>
        <v>0.70833333333333337</v>
      </c>
      <c r="H369" s="256">
        <f>INDEX(データ!L$21:N$24,MATCH(配置表!E369,データ!K$21:K$24,0),MATCH(配置表!G369,データ!L$20:N$20,0))</f>
        <v>1</v>
      </c>
      <c r="I369" s="52" t="str">
        <f>IF(ISERROR(VLOOKUP(M369,データ!$A$3:$C$20,3,FALSE)),"",VLOOKUP(M369,データ!$A$3:$C$20,3,FALSE))</f>
        <v/>
      </c>
      <c r="J369" s="52">
        <f t="shared" si="359"/>
        <v>1</v>
      </c>
      <c r="K369" s="53">
        <f>IF(K368=2,IF(I369=1,2,1),IF(I369=1,IF(J369=1,2,0),IF(J369=1,1,0)))</f>
        <v>1</v>
      </c>
      <c r="L369" s="28" t="str">
        <f t="shared" si="360"/>
        <v>閉</v>
      </c>
      <c r="M369" s="9">
        <f>M368+1</f>
        <v>46083</v>
      </c>
      <c r="N369" s="10" t="str">
        <f t="shared" ref="N369:N398" si="369">TEXT(WEEKDAY(M369,1),"aaa")</f>
        <v>月</v>
      </c>
      <c r="O369" s="63" t="str">
        <f>IF(AND(M369&gt;=VLOOKUP(M369,データ!$E$3:$G$9,1,TRUE),M369&lt;=VLOOKUP(M369,データ!$E$3:$G$9,2,TRUE)),VLOOKUP(M369,データ!$E$3:$G$9,3,TRUE),"")</f>
        <v/>
      </c>
      <c r="P369" s="63" t="str">
        <f>IF(AND(M369&gt;=VLOOKUP(M369,データ!$E$14:$G$21,1,TRUE),M369&lt;=VLOOKUP(M369,データ!$E$14:$G$21,2,TRUE)),VLOOKUP(M369,データ!$E$14:$G$21,3,TRUE),"")</f>
        <v/>
      </c>
      <c r="Q369" s="44" t="str">
        <f t="shared" si="361"/>
        <v>休</v>
      </c>
      <c r="R369" s="10"/>
      <c r="S369" s="10" t="str">
        <f t="shared" si="362"/>
        <v>休</v>
      </c>
      <c r="T369" s="45"/>
      <c r="U369" s="10" t="str">
        <f t="shared" si="363"/>
        <v>休</v>
      </c>
      <c r="V369" s="32"/>
      <c r="W369" s="33" t="str">
        <f t="shared" si="364"/>
        <v>休</v>
      </c>
      <c r="X369" s="8"/>
      <c r="Y369" s="33" t="str">
        <f t="shared" si="365"/>
        <v>休</v>
      </c>
      <c r="Z369" s="8" t="str">
        <f>IF(L369="閉","",(IF(AND(M369&gt;=VLOOKUP(M369,データ!$E$3:$G$9,1,TRUE),M369&lt;=VLOOKUP(M369,データ!$E$3:$G$9,2,TRUE)),VLOOKUP(M369,データ!$E$3:$H$9,4,TRUE),0)+IF(AND(M369&gt;=VLOOKUP(M369,データ!$E$14:$G$21,1,TRUE),M369&lt;=VLOOKUP(M369,データ!$E$14:$G$21,2,TRUE)),VLOOKUP(M369,データ!$E$14:$H$21,4,TRUE),0)))</f>
        <v/>
      </c>
      <c r="AA369" s="33" t="str">
        <f t="shared" si="366"/>
        <v>休</v>
      </c>
      <c r="AB369" s="227" t="str">
        <f t="shared" si="367"/>
        <v/>
      </c>
      <c r="AC369" s="227" t="str">
        <f t="shared" si="368"/>
        <v/>
      </c>
      <c r="AD369" s="228" t="str">
        <f>IF(K369=1,IF(ISERROR(VLOOKUP(M369,データ!$A$3:$C$23,2,FALSE)),"",VLOOKUP(M369,データ!$A$3:$C$23,2,FALSE)),(IF(ISERROR(VLOOKUP(M369,データ!$A$3:$C$23,2,FALSE)),"",VLOOKUP(M369,データ!$A$3:$C$23,2,FALSE))))</f>
        <v/>
      </c>
    </row>
    <row r="370" spans="1:30">
      <c r="A370" s="1">
        <f>IF(AND(M370&gt;=VLOOKUP(M370,データ!$K$3:$O$6,1,TRUE),M370&lt;=VLOOKUP(M370,データ!$K$3:$O$6,2,TRUE)),VLOOKUP(M370,データ!$K$3:$O$6,5,TRUE),"")</f>
        <v>1</v>
      </c>
      <c r="B370" s="74">
        <f>IF(AND(M370&gt;=VLOOKUP(M370,データ!$K$3:$O$6,1,TRUE),M370&lt;=VLOOKUP(M370,データ!$K$3:$O$6,2,TRUE)),VLOOKUP(M370,データ!$K$3:$O$6,3,TRUE),"")</f>
        <v>0.41666666666666669</v>
      </c>
      <c r="C370" s="1">
        <f>IF(AND(M370&gt;=VLOOKUP(M370,データ!$K$11:$O$16,1,TRUE),M370&lt;=VLOOKUP(M370,データ!$K$11:$O$16,2,TRUE)),VLOOKUP(M370,データ!$K$11:$O$16,5,TRUE),0)</f>
        <v>0</v>
      </c>
      <c r="D370" s="74" t="str">
        <f>IF(AND(M370&gt;=VLOOKUP(M370,データ!$K$11:$O$16,1,TRUE),M370&lt;=VLOOKUP(M370,データ!$K$11:$O$16,2,TRUE)),VLOOKUP(M370,データ!$K$11:$O$16,3,TRUE),"")</f>
        <v/>
      </c>
      <c r="E370" s="74">
        <f t="shared" si="358"/>
        <v>0.41666666666666669</v>
      </c>
      <c r="F370" s="75">
        <f>VLOOKUP(E370,データ!$K$20:$O$24,5,FALSE)</f>
        <v>0</v>
      </c>
      <c r="G370" s="74">
        <f>IF(AND(M370&gt;=VLOOKUP(M370,データ!$K$3:$O$6,1,TRUE),M370&lt;=VLOOKUP(M370,データ!$K$3:$O$6,2,TRUE)),VLOOKUP(M370,データ!$K$3:$O$6,4,TRUE),"")</f>
        <v>0.70833333333333337</v>
      </c>
      <c r="H370" s="256">
        <f>INDEX(データ!L$21:N$24,MATCH(配置表!E370,データ!K$21:K$24,0),MATCH(配置表!G370,データ!L$20:N$20,0))</f>
        <v>1</v>
      </c>
      <c r="I370" s="52" t="str">
        <f>IF(ISERROR(VLOOKUP(M370,データ!$A$3:$C$20,3,FALSE)),"",VLOOKUP(M370,データ!$A$3:$C$20,3,FALSE))</f>
        <v/>
      </c>
      <c r="J370" s="52" t="str">
        <f t="shared" si="359"/>
        <v/>
      </c>
      <c r="K370" s="53">
        <f t="shared" ref="K370:K398" si="370">IF(K369=2,IF(I370=1,2,1),IF(I370=1,IF(J370=1,2,0),IF(J370=1,1,0)))</f>
        <v>0</v>
      </c>
      <c r="L370" s="28" t="str">
        <f t="shared" si="360"/>
        <v>閉</v>
      </c>
      <c r="M370" s="9">
        <f>M369+1</f>
        <v>46084</v>
      </c>
      <c r="N370" s="10" t="str">
        <f t="shared" si="369"/>
        <v>火</v>
      </c>
      <c r="O370" s="63" t="str">
        <f>IF(AND(M370&gt;=VLOOKUP(M370,データ!$E$3:$G$9,1,TRUE),M370&lt;=VLOOKUP(M370,データ!$E$3:$G$9,2,TRUE)),VLOOKUP(M370,データ!$E$3:$G$9,3,TRUE),"")</f>
        <v/>
      </c>
      <c r="P370" s="63" t="str">
        <f>IF(AND(M370&gt;=VLOOKUP(M370,データ!$E$14:$G$21,1,TRUE),M370&lt;=VLOOKUP(M370,データ!$E$14:$G$21,2,TRUE)),VLOOKUP(M370,データ!$E$14:$G$21,3,TRUE),"")</f>
        <v/>
      </c>
      <c r="Q370" s="44" t="str">
        <f t="shared" si="361"/>
        <v>休</v>
      </c>
      <c r="R370" s="8"/>
      <c r="S370" s="33" t="str">
        <f t="shared" si="362"/>
        <v>休</v>
      </c>
      <c r="T370" s="8"/>
      <c r="U370" s="33" t="str">
        <f t="shared" si="363"/>
        <v>休</v>
      </c>
      <c r="V370" s="8"/>
      <c r="W370" s="33" t="str">
        <f t="shared" si="364"/>
        <v>休</v>
      </c>
      <c r="X370" s="8"/>
      <c r="Y370" s="33" t="str">
        <f t="shared" si="365"/>
        <v>休</v>
      </c>
      <c r="Z370" s="8" t="str">
        <f>IF(L370="閉","",(IF(AND(M370&gt;=VLOOKUP(M370,データ!$E$3:$G$9,1,TRUE),M370&lt;=VLOOKUP(M370,データ!$E$3:$G$9,2,TRUE)),VLOOKUP(M370,データ!$E$3:$H$9,4,TRUE),0)+IF(AND(M370&gt;=VLOOKUP(M370,データ!$E$14:$G$21,1,TRUE),M370&lt;=VLOOKUP(M370,データ!$E$14:$G$21,2,TRUE)),VLOOKUP(M370,データ!$E$14:$H$21,4,TRUE),0)))</f>
        <v/>
      </c>
      <c r="AA370" s="33" t="str">
        <f t="shared" si="366"/>
        <v>休</v>
      </c>
      <c r="AB370" s="227">
        <f t="shared" si="367"/>
        <v>0.41666666666666669</v>
      </c>
      <c r="AC370" s="227">
        <f t="shared" si="368"/>
        <v>0.70833333333333337</v>
      </c>
      <c r="AD370" s="228" t="str">
        <f>IF(K370=1,IF(ISERROR(VLOOKUP(M370,データ!$A$3:$C$23,2,FALSE)),"",VLOOKUP(M370,データ!$A$3:$C$23,2,FALSE)),(IF(ISERROR(VLOOKUP(M370,データ!$A$3:$C$23,2,FALSE)),"",VLOOKUP(M370,データ!$A$3:$C$23,2,FALSE))))</f>
        <v/>
      </c>
    </row>
    <row r="371" spans="1:30">
      <c r="A371" s="1">
        <f>IF(AND(M371&gt;=VLOOKUP(M371,データ!$K$3:$O$6,1,TRUE),M371&lt;=VLOOKUP(M371,データ!$K$3:$O$6,2,TRUE)),VLOOKUP(M371,データ!$K$3:$O$6,5,TRUE),"")</f>
        <v>1</v>
      </c>
      <c r="B371" s="74">
        <f>IF(AND(M371&gt;=VLOOKUP(M371,データ!$K$3:$O$6,1,TRUE),M371&lt;=VLOOKUP(M371,データ!$K$3:$O$6,2,TRUE)),VLOOKUP(M371,データ!$K$3:$O$6,3,TRUE),"")</f>
        <v>0.41666666666666669</v>
      </c>
      <c r="C371" s="1">
        <f>IF(AND(M371&gt;=VLOOKUP(M371,データ!$K$11:$O$16,1,TRUE),M371&lt;=VLOOKUP(M371,データ!$K$11:$O$16,2,TRUE)),VLOOKUP(M371,データ!$K$11:$O$16,5,TRUE),0)</f>
        <v>0</v>
      </c>
      <c r="D371" s="74" t="str">
        <f>IF(AND(M371&gt;=VLOOKUP(M371,データ!$K$11:$O$16,1,TRUE),M371&lt;=VLOOKUP(M371,データ!$K$11:$O$16,2,TRUE)),VLOOKUP(M371,データ!$K$11:$O$16,3,TRUE),"")</f>
        <v/>
      </c>
      <c r="E371" s="74">
        <f t="shared" si="358"/>
        <v>0.41666666666666669</v>
      </c>
      <c r="F371" s="75">
        <f>VLOOKUP(E371,データ!$K$20:$O$24,5,FALSE)</f>
        <v>0</v>
      </c>
      <c r="G371" s="74">
        <f>IF(AND(M371&gt;=VLOOKUP(M371,データ!$K$3:$O$6,1,TRUE),M371&lt;=VLOOKUP(M371,データ!$K$3:$O$6,2,TRUE)),VLOOKUP(M371,データ!$K$3:$O$6,4,TRUE),"")</f>
        <v>0.70833333333333337</v>
      </c>
      <c r="H371" s="256">
        <f>INDEX(データ!L$21:N$24,MATCH(配置表!E371,データ!K$21:K$24,0),MATCH(配置表!G371,データ!L$20:N$20,0))</f>
        <v>1</v>
      </c>
      <c r="I371" s="52" t="str">
        <f>IF(ISERROR(VLOOKUP(M371,データ!$A$3:$C$20,3,FALSE)),"",VLOOKUP(M371,データ!$A$3:$C$20,3,FALSE))</f>
        <v/>
      </c>
      <c r="J371" s="52" t="str">
        <f t="shared" si="359"/>
        <v/>
      </c>
      <c r="K371" s="53">
        <f t="shared" si="370"/>
        <v>0</v>
      </c>
      <c r="L371" s="28" t="str">
        <f t="shared" si="360"/>
        <v>閉</v>
      </c>
      <c r="M371" s="9">
        <f t="shared" ref="M371:M398" si="371">M370+1</f>
        <v>46085</v>
      </c>
      <c r="N371" s="10" t="str">
        <f t="shared" si="369"/>
        <v>水</v>
      </c>
      <c r="O371" s="63" t="str">
        <f>IF(AND(M371&gt;=VLOOKUP(M371,データ!$E$3:$G$9,1,TRUE),M371&lt;=VLOOKUP(M371,データ!$E$3:$G$9,2,TRUE)),VLOOKUP(M371,データ!$E$3:$G$9,3,TRUE),"")</f>
        <v/>
      </c>
      <c r="P371" s="63" t="str">
        <f>IF(AND(M371&gt;=VLOOKUP(M371,データ!$E$14:$G$21,1,TRUE),M371&lt;=VLOOKUP(M371,データ!$E$14:$G$21,2,TRUE)),VLOOKUP(M371,データ!$E$14:$G$21,3,TRUE),"")</f>
        <v/>
      </c>
      <c r="Q371" s="44" t="str">
        <f t="shared" si="361"/>
        <v>休</v>
      </c>
      <c r="R371" s="10"/>
      <c r="S371" s="10" t="str">
        <f t="shared" si="362"/>
        <v>休</v>
      </c>
      <c r="T371" s="45"/>
      <c r="U371" s="10" t="str">
        <f t="shared" si="363"/>
        <v>休</v>
      </c>
      <c r="V371" s="32"/>
      <c r="W371" s="33" t="str">
        <f t="shared" si="364"/>
        <v>休</v>
      </c>
      <c r="X371" s="8"/>
      <c r="Y371" s="33" t="str">
        <f t="shared" si="365"/>
        <v>休</v>
      </c>
      <c r="Z371" s="8" t="str">
        <f>IF(L371="閉","",(IF(AND(M371&gt;=VLOOKUP(M371,データ!$E$3:$G$9,1,TRUE),M371&lt;=VLOOKUP(M371,データ!$E$3:$G$9,2,TRUE)),VLOOKUP(M371,データ!$E$3:$H$9,4,TRUE),0)+IF(AND(M371&gt;=VLOOKUP(M371,データ!$E$14:$G$21,1,TRUE),M371&lt;=VLOOKUP(M371,データ!$E$14:$G$21,2,TRUE)),VLOOKUP(M371,データ!$E$14:$H$21,4,TRUE),0)))</f>
        <v/>
      </c>
      <c r="AA371" s="33" t="str">
        <f t="shared" si="366"/>
        <v>休</v>
      </c>
      <c r="AB371" s="227">
        <f t="shared" si="367"/>
        <v>0.41666666666666669</v>
      </c>
      <c r="AC371" s="227">
        <f t="shared" si="368"/>
        <v>0.70833333333333337</v>
      </c>
      <c r="AD371" s="228" t="str">
        <f>IF(K371=1,IF(ISERROR(VLOOKUP(M371,データ!$A$3:$C$23,2,FALSE)),"",VLOOKUP(M371,データ!$A$3:$C$23,2,FALSE)),(IF(ISERROR(VLOOKUP(M371,データ!$A$3:$C$23,2,FALSE)),"",VLOOKUP(M371,データ!$A$3:$C$23,2,FALSE))))</f>
        <v/>
      </c>
    </row>
    <row r="372" spans="1:30">
      <c r="A372" s="1">
        <f>IF(AND(M372&gt;=VLOOKUP(M372,データ!$K$3:$O$6,1,TRUE),M372&lt;=VLOOKUP(M372,データ!$K$3:$O$6,2,TRUE)),VLOOKUP(M372,データ!$K$3:$O$6,5,TRUE),"")</f>
        <v>1</v>
      </c>
      <c r="B372" s="74">
        <f>IF(AND(M372&gt;=VLOOKUP(M372,データ!$K$3:$O$6,1,TRUE),M372&lt;=VLOOKUP(M372,データ!$K$3:$O$6,2,TRUE)),VLOOKUP(M372,データ!$K$3:$O$6,3,TRUE),"")</f>
        <v>0.41666666666666669</v>
      </c>
      <c r="C372" s="1">
        <f>IF(AND(M372&gt;=VLOOKUP(M372,データ!$K$11:$O$16,1,TRUE),M372&lt;=VLOOKUP(M372,データ!$K$11:$O$16,2,TRUE)),VLOOKUP(M372,データ!$K$11:$O$16,5,TRUE),0)</f>
        <v>0</v>
      </c>
      <c r="D372" s="74" t="str">
        <f>IF(AND(M372&gt;=VLOOKUP(M372,データ!$K$11:$O$16,1,TRUE),M372&lt;=VLOOKUP(M372,データ!$K$11:$O$16,2,TRUE)),VLOOKUP(M372,データ!$K$11:$O$16,3,TRUE),"")</f>
        <v/>
      </c>
      <c r="E372" s="74">
        <f t="shared" si="358"/>
        <v>0.41666666666666669</v>
      </c>
      <c r="F372" s="75">
        <f>VLOOKUP(E372,データ!$K$20:$O$24,5,FALSE)</f>
        <v>0</v>
      </c>
      <c r="G372" s="74">
        <f>IF(AND(M372&gt;=VLOOKUP(M372,データ!$K$3:$O$6,1,TRUE),M372&lt;=VLOOKUP(M372,データ!$K$3:$O$6,2,TRUE)),VLOOKUP(M372,データ!$K$3:$O$6,4,TRUE),"")</f>
        <v>0.70833333333333337</v>
      </c>
      <c r="H372" s="256">
        <f>INDEX(データ!L$21:N$24,MATCH(配置表!E372,データ!K$21:K$24,0),MATCH(配置表!G372,データ!L$20:N$20,0))</f>
        <v>1</v>
      </c>
      <c r="I372" s="52" t="str">
        <f>IF(ISERROR(VLOOKUP(M372,データ!$A$3:$C$20,3,FALSE)),"",VLOOKUP(M372,データ!$A$3:$C$20,3,FALSE))</f>
        <v/>
      </c>
      <c r="J372" s="52" t="str">
        <f t="shared" si="359"/>
        <v/>
      </c>
      <c r="K372" s="53">
        <f t="shared" si="370"/>
        <v>0</v>
      </c>
      <c r="L372" s="28" t="str">
        <f t="shared" si="360"/>
        <v>閉</v>
      </c>
      <c r="M372" s="9">
        <f t="shared" si="371"/>
        <v>46086</v>
      </c>
      <c r="N372" s="10" t="str">
        <f t="shared" si="369"/>
        <v>木</v>
      </c>
      <c r="O372" s="63" t="str">
        <f>IF(AND(M372&gt;=VLOOKUP(M372,データ!$E$3:$G$9,1,TRUE),M372&lt;=VLOOKUP(M372,データ!$E$3:$G$9,2,TRUE)),VLOOKUP(M372,データ!$E$3:$G$9,3,TRUE),"")</f>
        <v/>
      </c>
      <c r="P372" s="63" t="str">
        <f>IF(AND(M372&gt;=VLOOKUP(M372,データ!$E$14:$G$21,1,TRUE),M372&lt;=VLOOKUP(M372,データ!$E$14:$G$21,2,TRUE)),VLOOKUP(M372,データ!$E$14:$G$21,3,TRUE),"")</f>
        <v/>
      </c>
      <c r="Q372" s="44" t="str">
        <f t="shared" si="361"/>
        <v>休</v>
      </c>
      <c r="R372" s="10"/>
      <c r="S372" s="10" t="str">
        <f t="shared" si="362"/>
        <v>休</v>
      </c>
      <c r="T372" s="45"/>
      <c r="U372" s="10" t="str">
        <f t="shared" si="363"/>
        <v>休</v>
      </c>
      <c r="V372" s="32"/>
      <c r="W372" s="33" t="str">
        <f t="shared" si="364"/>
        <v>休</v>
      </c>
      <c r="X372" s="8"/>
      <c r="Y372" s="33" t="str">
        <f t="shared" si="365"/>
        <v>休</v>
      </c>
      <c r="Z372" s="8" t="str">
        <f>IF(L372="閉","",(IF(AND(M372&gt;=VLOOKUP(M372,データ!$E$3:$G$9,1,TRUE),M372&lt;=VLOOKUP(M372,データ!$E$3:$G$9,2,TRUE)),VLOOKUP(M372,データ!$E$3:$H$9,4,TRUE),0)+IF(AND(M372&gt;=VLOOKUP(M372,データ!$E$14:$G$21,1,TRUE),M372&lt;=VLOOKUP(M372,データ!$E$14:$G$21,2,TRUE)),VLOOKUP(M372,データ!$E$14:$H$21,4,TRUE),0)))</f>
        <v/>
      </c>
      <c r="AA372" s="33" t="str">
        <f t="shared" si="366"/>
        <v>休</v>
      </c>
      <c r="AB372" s="227">
        <f t="shared" si="367"/>
        <v>0.41666666666666669</v>
      </c>
      <c r="AC372" s="227">
        <f t="shared" si="368"/>
        <v>0.70833333333333337</v>
      </c>
      <c r="AD372" s="228" t="str">
        <f>IF(K372=1,IF(ISERROR(VLOOKUP(M372,データ!$A$3:$C$23,2,FALSE)),"",VLOOKUP(M372,データ!$A$3:$C$23,2,FALSE)),(IF(ISERROR(VLOOKUP(M372,データ!$A$3:$C$23,2,FALSE)),"",VLOOKUP(M372,データ!$A$3:$C$23,2,FALSE))))</f>
        <v/>
      </c>
    </row>
    <row r="373" spans="1:30">
      <c r="A373" s="1">
        <f>IF(AND(M373&gt;=VLOOKUP(M373,データ!$K$3:$O$6,1,TRUE),M373&lt;=VLOOKUP(M373,データ!$K$3:$O$6,2,TRUE)),VLOOKUP(M373,データ!$K$3:$O$6,5,TRUE),"")</f>
        <v>1</v>
      </c>
      <c r="B373" s="74">
        <f>IF(AND(M373&gt;=VLOOKUP(M373,データ!$K$3:$O$6,1,TRUE),M373&lt;=VLOOKUP(M373,データ!$K$3:$O$6,2,TRUE)),VLOOKUP(M373,データ!$K$3:$O$6,3,TRUE),"")</f>
        <v>0.41666666666666669</v>
      </c>
      <c r="C373" s="1">
        <f>IF(AND(M373&gt;=VLOOKUP(M373,データ!$K$11:$O$16,1,TRUE),M373&lt;=VLOOKUP(M373,データ!$K$11:$O$16,2,TRUE)),VLOOKUP(M373,データ!$K$11:$O$16,5,TRUE),0)</f>
        <v>0</v>
      </c>
      <c r="D373" s="74" t="str">
        <f>IF(AND(M373&gt;=VLOOKUP(M373,データ!$K$11:$O$16,1,TRUE),M373&lt;=VLOOKUP(M373,データ!$K$11:$O$16,2,TRUE)),VLOOKUP(M373,データ!$K$11:$O$16,3,TRUE),"")</f>
        <v/>
      </c>
      <c r="E373" s="74">
        <f t="shared" si="358"/>
        <v>0.41666666666666669</v>
      </c>
      <c r="F373" s="75">
        <f>VLOOKUP(E373,データ!$K$20:$O$24,5,FALSE)</f>
        <v>0</v>
      </c>
      <c r="G373" s="74">
        <f>IF(AND(M373&gt;=VLOOKUP(M373,データ!$K$3:$O$6,1,TRUE),M373&lt;=VLOOKUP(M373,データ!$K$3:$O$6,2,TRUE)),VLOOKUP(M373,データ!$K$3:$O$6,4,TRUE),"")</f>
        <v>0.70833333333333337</v>
      </c>
      <c r="H373" s="256">
        <f>INDEX(データ!L$21:N$24,MATCH(配置表!E373,データ!K$21:K$24,0),MATCH(配置表!G373,データ!L$20:N$20,0))</f>
        <v>1</v>
      </c>
      <c r="I373" s="52" t="str">
        <f>IF(ISERROR(VLOOKUP(M373,データ!$A$3:$C$20,3,FALSE)),"",VLOOKUP(M373,データ!$A$3:$C$20,3,FALSE))</f>
        <v/>
      </c>
      <c r="J373" s="52" t="str">
        <f t="shared" si="359"/>
        <v/>
      </c>
      <c r="K373" s="53">
        <f t="shared" si="370"/>
        <v>0</v>
      </c>
      <c r="L373" s="28" t="str">
        <f t="shared" si="360"/>
        <v>閉</v>
      </c>
      <c r="M373" s="9">
        <f t="shared" si="371"/>
        <v>46087</v>
      </c>
      <c r="N373" s="10" t="str">
        <f t="shared" si="369"/>
        <v>金</v>
      </c>
      <c r="O373" s="63" t="str">
        <f>IF(AND(M373&gt;=VLOOKUP(M373,データ!$E$3:$G$9,1,TRUE),M373&lt;=VLOOKUP(M373,データ!$E$3:$G$9,2,TRUE)),VLOOKUP(M373,データ!$E$3:$G$9,3,TRUE),"")</f>
        <v/>
      </c>
      <c r="P373" s="63" t="str">
        <f>IF(AND(M373&gt;=VLOOKUP(M373,データ!$E$14:$G$21,1,TRUE),M373&lt;=VLOOKUP(M373,データ!$E$14:$G$21,2,TRUE)),VLOOKUP(M373,データ!$E$14:$G$21,3,TRUE),"")</f>
        <v/>
      </c>
      <c r="Q373" s="44" t="str">
        <f t="shared" si="361"/>
        <v>休</v>
      </c>
      <c r="R373" s="10"/>
      <c r="S373" s="10" t="str">
        <f t="shared" si="362"/>
        <v>休</v>
      </c>
      <c r="T373" s="45"/>
      <c r="U373" s="10" t="str">
        <f t="shared" si="363"/>
        <v>休</v>
      </c>
      <c r="V373" s="32"/>
      <c r="W373" s="33" t="str">
        <f t="shared" si="364"/>
        <v>休</v>
      </c>
      <c r="X373" s="8"/>
      <c r="Y373" s="33" t="str">
        <f t="shared" si="365"/>
        <v>休</v>
      </c>
      <c r="Z373" s="8" t="str">
        <f>IF(L373="閉","",(IF(AND(M373&gt;=VLOOKUP(M373,データ!$E$3:$G$9,1,TRUE),M373&lt;=VLOOKUP(M373,データ!$E$3:$G$9,2,TRUE)),VLOOKUP(M373,データ!$E$3:$H$9,4,TRUE),0)+IF(AND(M373&gt;=VLOOKUP(M373,データ!$E$14:$G$21,1,TRUE),M373&lt;=VLOOKUP(M373,データ!$E$14:$G$21,2,TRUE)),VLOOKUP(M373,データ!$E$14:$H$21,4,TRUE),0)))</f>
        <v/>
      </c>
      <c r="AA373" s="33" t="str">
        <f t="shared" si="366"/>
        <v>休</v>
      </c>
      <c r="AB373" s="227">
        <f t="shared" si="367"/>
        <v>0.41666666666666669</v>
      </c>
      <c r="AC373" s="227">
        <f t="shared" si="368"/>
        <v>0.70833333333333337</v>
      </c>
      <c r="AD373" s="228" t="str">
        <f>IF(K373=1,IF(ISERROR(VLOOKUP(M373,データ!$A$3:$C$23,2,FALSE)),"",VLOOKUP(M373,データ!$A$3:$C$23,2,FALSE)),(IF(ISERROR(VLOOKUP(M373,データ!$A$3:$C$23,2,FALSE)),"",VLOOKUP(M373,データ!$A$3:$C$23,2,FALSE))))</f>
        <v/>
      </c>
    </row>
    <row r="374" spans="1:30">
      <c r="A374" s="1">
        <f>IF(AND(M374&gt;=VLOOKUP(M374,データ!$K$3:$O$6,1,TRUE),M374&lt;=VLOOKUP(M374,データ!$K$3:$O$6,2,TRUE)),VLOOKUP(M374,データ!$K$3:$O$6,5,TRUE),"")</f>
        <v>1</v>
      </c>
      <c r="B374" s="74">
        <f>IF(AND(M374&gt;=VLOOKUP(M374,データ!$K$3:$O$6,1,TRUE),M374&lt;=VLOOKUP(M374,データ!$K$3:$O$6,2,TRUE)),VLOOKUP(M374,データ!$K$3:$O$6,3,TRUE),"")</f>
        <v>0.41666666666666669</v>
      </c>
      <c r="C374" s="1">
        <f>IF(AND(M374&gt;=VLOOKUP(M374,データ!$K$11:$O$16,1,TRUE),M374&lt;=VLOOKUP(M374,データ!$K$11:$O$16,2,TRUE)),VLOOKUP(M374,データ!$K$11:$O$16,5,TRUE),0)</f>
        <v>0</v>
      </c>
      <c r="D374" s="74" t="str">
        <f>IF(AND(M374&gt;=VLOOKUP(M374,データ!$K$11:$O$16,1,TRUE),M374&lt;=VLOOKUP(M374,データ!$K$11:$O$16,2,TRUE)),VLOOKUP(M374,データ!$K$11:$O$16,3,TRUE),"")</f>
        <v/>
      </c>
      <c r="E374" s="74">
        <f t="shared" si="358"/>
        <v>0.41666666666666669</v>
      </c>
      <c r="F374" s="75">
        <f>VLOOKUP(E374,データ!$K$20:$O$24,5,FALSE)</f>
        <v>0</v>
      </c>
      <c r="G374" s="74">
        <f>IF(AND(M374&gt;=VLOOKUP(M374,データ!$K$3:$O$6,1,TRUE),M374&lt;=VLOOKUP(M374,データ!$K$3:$O$6,2,TRUE)),VLOOKUP(M374,データ!$K$3:$O$6,4,TRUE),"")</f>
        <v>0.70833333333333337</v>
      </c>
      <c r="H374" s="256">
        <f>INDEX(データ!L$21:N$24,MATCH(配置表!E374,データ!K$21:K$24,0),MATCH(配置表!G374,データ!L$20:N$20,0))</f>
        <v>1</v>
      </c>
      <c r="I374" s="52" t="str">
        <f>IF(ISERROR(VLOOKUP(M374,データ!$A$3:$C$20,3,FALSE)),"",VLOOKUP(M374,データ!$A$3:$C$20,3,FALSE))</f>
        <v/>
      </c>
      <c r="J374" s="52" t="str">
        <f t="shared" si="359"/>
        <v/>
      </c>
      <c r="K374" s="53">
        <f t="shared" si="370"/>
        <v>0</v>
      </c>
      <c r="L374" s="28" t="str">
        <f t="shared" si="360"/>
        <v>閉</v>
      </c>
      <c r="M374" s="9">
        <f t="shared" si="371"/>
        <v>46088</v>
      </c>
      <c r="N374" s="10" t="str">
        <f t="shared" si="369"/>
        <v>土</v>
      </c>
      <c r="O374" s="63" t="str">
        <f>IF(AND(M374&gt;=VLOOKUP(M374,データ!$E$3:$G$9,1,TRUE),M374&lt;=VLOOKUP(M374,データ!$E$3:$G$9,2,TRUE)),VLOOKUP(M374,データ!$E$3:$G$9,3,TRUE),"")</f>
        <v/>
      </c>
      <c r="P374" s="63" t="str">
        <f>IF(AND(M374&gt;=VLOOKUP(M374,データ!$E$14:$G$21,1,TRUE),M374&lt;=VLOOKUP(M374,データ!$E$14:$G$21,2,TRUE)),VLOOKUP(M374,データ!$E$14:$G$21,3,TRUE),"")</f>
        <v/>
      </c>
      <c r="Q374" s="44" t="str">
        <f t="shared" si="361"/>
        <v>休</v>
      </c>
      <c r="R374" s="10"/>
      <c r="S374" s="10" t="str">
        <f t="shared" si="362"/>
        <v>休</v>
      </c>
      <c r="T374" s="45"/>
      <c r="U374" s="10" t="str">
        <f t="shared" si="363"/>
        <v>休</v>
      </c>
      <c r="V374" s="32"/>
      <c r="W374" s="33" t="str">
        <f t="shared" si="364"/>
        <v>休</v>
      </c>
      <c r="X374" s="8"/>
      <c r="Y374" s="33" t="str">
        <f t="shared" si="365"/>
        <v>休</v>
      </c>
      <c r="Z374" s="8" t="str">
        <f>IF(L374="閉","",(IF(AND(M374&gt;=VLOOKUP(M374,データ!$E$3:$G$9,1,TRUE),M374&lt;=VLOOKUP(M374,データ!$E$3:$G$9,2,TRUE)),VLOOKUP(M374,データ!$E$3:$H$9,4,TRUE),0)+IF(AND(M374&gt;=VLOOKUP(M374,データ!$E$14:$G$21,1,TRUE),M374&lt;=VLOOKUP(M374,データ!$E$14:$G$21,2,TRUE)),VLOOKUP(M374,データ!$E$14:$H$21,4,TRUE),0)))</f>
        <v/>
      </c>
      <c r="AA374" s="33" t="str">
        <f t="shared" si="366"/>
        <v>休</v>
      </c>
      <c r="AB374" s="227">
        <f t="shared" si="367"/>
        <v>0.41666666666666669</v>
      </c>
      <c r="AC374" s="227">
        <f t="shared" si="368"/>
        <v>0.70833333333333337</v>
      </c>
      <c r="AD374" s="228" t="str">
        <f>IF(K374=1,IF(ISERROR(VLOOKUP(M374,データ!$A$3:$C$23,2,FALSE)),"",VLOOKUP(M374,データ!$A$3:$C$23,2,FALSE)),(IF(ISERROR(VLOOKUP(M374,データ!$A$3:$C$23,2,FALSE)),"",VLOOKUP(M374,データ!$A$3:$C$23,2,FALSE))))</f>
        <v/>
      </c>
    </row>
    <row r="375" spans="1:30">
      <c r="A375" s="1">
        <f>IF(AND(M375&gt;=VLOOKUP(M375,データ!$K$3:$O$6,1,TRUE),M375&lt;=VLOOKUP(M375,データ!$K$3:$O$6,2,TRUE)),VLOOKUP(M375,データ!$K$3:$O$6,5,TRUE),"")</f>
        <v>1</v>
      </c>
      <c r="B375" s="74">
        <f>IF(AND(M375&gt;=VLOOKUP(M375,データ!$K$3:$O$6,1,TRUE),M375&lt;=VLOOKUP(M375,データ!$K$3:$O$6,2,TRUE)),VLOOKUP(M375,データ!$K$3:$O$6,3,TRUE),"")</f>
        <v>0.41666666666666669</v>
      </c>
      <c r="C375" s="1">
        <f>IF(AND(M375&gt;=VLOOKUP(M375,データ!$K$11:$O$16,1,TRUE),M375&lt;=VLOOKUP(M375,データ!$K$11:$O$16,2,TRUE)),VLOOKUP(M375,データ!$K$11:$O$16,5,TRUE),0)</f>
        <v>0</v>
      </c>
      <c r="D375" s="74" t="str">
        <f>IF(AND(M375&gt;=VLOOKUP(M375,データ!$K$11:$O$16,1,TRUE),M375&lt;=VLOOKUP(M375,データ!$K$11:$O$16,2,TRUE)),VLOOKUP(M375,データ!$K$11:$O$16,3,TRUE),"")</f>
        <v/>
      </c>
      <c r="E375" s="74">
        <f t="shared" si="358"/>
        <v>0.41666666666666669</v>
      </c>
      <c r="F375" s="75">
        <f>VLOOKUP(E375,データ!$K$20:$O$24,5,FALSE)</f>
        <v>0</v>
      </c>
      <c r="G375" s="74">
        <f>IF(AND(M375&gt;=VLOOKUP(M375,データ!$K$3:$O$6,1,TRUE),M375&lt;=VLOOKUP(M375,データ!$K$3:$O$6,2,TRUE)),VLOOKUP(M375,データ!$K$3:$O$6,4,TRUE),"")</f>
        <v>0.70833333333333337</v>
      </c>
      <c r="H375" s="256">
        <f>INDEX(データ!L$21:N$24,MATCH(配置表!E375,データ!K$21:K$24,0),MATCH(配置表!G375,データ!L$20:N$20,0))</f>
        <v>1</v>
      </c>
      <c r="I375" s="52" t="str">
        <f>IF(ISERROR(VLOOKUP(M375,データ!$A$3:$C$20,3,FALSE)),"",VLOOKUP(M375,データ!$A$3:$C$20,3,FALSE))</f>
        <v/>
      </c>
      <c r="J375" s="52" t="str">
        <f t="shared" si="359"/>
        <v/>
      </c>
      <c r="K375" s="53">
        <f t="shared" si="370"/>
        <v>0</v>
      </c>
      <c r="L375" s="28" t="str">
        <f t="shared" si="360"/>
        <v>閉</v>
      </c>
      <c r="M375" s="9">
        <f t="shared" si="371"/>
        <v>46089</v>
      </c>
      <c r="N375" s="10" t="str">
        <f t="shared" si="369"/>
        <v>日</v>
      </c>
      <c r="O375" s="63" t="str">
        <f>IF(AND(M375&gt;=VLOOKUP(M375,データ!$E$3:$G$9,1,TRUE),M375&lt;=VLOOKUP(M375,データ!$E$3:$G$9,2,TRUE)),VLOOKUP(M375,データ!$E$3:$G$9,3,TRUE),"")</f>
        <v/>
      </c>
      <c r="P375" s="63" t="str">
        <f>IF(AND(M375&gt;=VLOOKUP(M375,データ!$E$14:$G$21,1,TRUE),M375&lt;=VLOOKUP(M375,データ!$E$14:$G$21,2,TRUE)),VLOOKUP(M375,データ!$E$14:$G$21,3,TRUE),"")</f>
        <v/>
      </c>
      <c r="Q375" s="44" t="str">
        <f t="shared" si="361"/>
        <v>休</v>
      </c>
      <c r="R375" s="10"/>
      <c r="S375" s="10" t="str">
        <f t="shared" si="362"/>
        <v>休</v>
      </c>
      <c r="T375" s="45"/>
      <c r="U375" s="10" t="str">
        <f t="shared" si="363"/>
        <v>休</v>
      </c>
      <c r="V375" s="32"/>
      <c r="W375" s="33" t="str">
        <f t="shared" si="364"/>
        <v>休</v>
      </c>
      <c r="X375" s="8"/>
      <c r="Y375" s="33" t="str">
        <f t="shared" si="365"/>
        <v>休</v>
      </c>
      <c r="Z375" s="8" t="str">
        <f>IF(L375="閉","",(IF(AND(M375&gt;=VLOOKUP(M375,データ!$E$3:$G$9,1,TRUE),M375&lt;=VLOOKUP(M375,データ!$E$3:$G$9,2,TRUE)),VLOOKUP(M375,データ!$E$3:$H$9,4,TRUE),0)+IF(AND(M375&gt;=VLOOKUP(M375,データ!$E$14:$G$21,1,TRUE),M375&lt;=VLOOKUP(M375,データ!$E$14:$G$21,2,TRUE)),VLOOKUP(M375,データ!$E$14:$H$21,4,TRUE),0)))</f>
        <v/>
      </c>
      <c r="AA375" s="33" t="str">
        <f t="shared" si="366"/>
        <v>休</v>
      </c>
      <c r="AB375" s="227">
        <f t="shared" si="367"/>
        <v>0.41666666666666669</v>
      </c>
      <c r="AC375" s="227">
        <f t="shared" si="368"/>
        <v>0.70833333333333337</v>
      </c>
      <c r="AD375" s="228" t="str">
        <f>IF(K375=1,IF(ISERROR(VLOOKUP(M375,データ!$A$3:$C$23,2,FALSE)),"",VLOOKUP(M375,データ!$A$3:$C$23,2,FALSE)),(IF(ISERROR(VLOOKUP(M375,データ!$A$3:$C$23,2,FALSE)),"",VLOOKUP(M375,データ!$A$3:$C$23,2,FALSE))))</f>
        <v/>
      </c>
    </row>
    <row r="376" spans="1:30">
      <c r="A376" s="1">
        <f>IF(AND(M376&gt;=VLOOKUP(M376,データ!$K$3:$O$6,1,TRUE),M376&lt;=VLOOKUP(M376,データ!$K$3:$O$6,2,TRUE)),VLOOKUP(M376,データ!$K$3:$O$6,5,TRUE),"")</f>
        <v>1</v>
      </c>
      <c r="B376" s="74">
        <f>IF(AND(M376&gt;=VLOOKUP(M376,データ!$K$3:$O$6,1,TRUE),M376&lt;=VLOOKUP(M376,データ!$K$3:$O$6,2,TRUE)),VLOOKUP(M376,データ!$K$3:$O$6,3,TRUE),"")</f>
        <v>0.41666666666666669</v>
      </c>
      <c r="C376" s="1">
        <f>IF(AND(M376&gt;=VLOOKUP(M376,データ!$K$11:$O$16,1,TRUE),M376&lt;=VLOOKUP(M376,データ!$K$11:$O$16,2,TRUE)),VLOOKUP(M376,データ!$K$11:$O$16,5,TRUE),0)</f>
        <v>0</v>
      </c>
      <c r="D376" s="74" t="str">
        <f>IF(AND(M376&gt;=VLOOKUP(M376,データ!$K$11:$O$16,1,TRUE),M376&lt;=VLOOKUP(M376,データ!$K$11:$O$16,2,TRUE)),VLOOKUP(M376,データ!$K$11:$O$16,3,TRUE),"")</f>
        <v/>
      </c>
      <c r="E376" s="74">
        <f t="shared" si="358"/>
        <v>0.41666666666666669</v>
      </c>
      <c r="F376" s="75">
        <f>VLOOKUP(E376,データ!$K$20:$O$24,5,FALSE)</f>
        <v>0</v>
      </c>
      <c r="G376" s="74">
        <f>IF(AND(M376&gt;=VLOOKUP(M376,データ!$K$3:$O$6,1,TRUE),M376&lt;=VLOOKUP(M376,データ!$K$3:$O$6,2,TRUE)),VLOOKUP(M376,データ!$K$3:$O$6,4,TRUE),"")</f>
        <v>0.70833333333333337</v>
      </c>
      <c r="H376" s="256">
        <f>INDEX(データ!L$21:N$24,MATCH(配置表!E376,データ!K$21:K$24,0),MATCH(配置表!G376,データ!L$20:N$20,0))</f>
        <v>1</v>
      </c>
      <c r="I376" s="52" t="str">
        <f>IF(ISERROR(VLOOKUP(M376,データ!$A$3:$C$20,3,FALSE)),"",VLOOKUP(M376,データ!$A$3:$C$20,3,FALSE))</f>
        <v/>
      </c>
      <c r="J376" s="52">
        <f t="shared" si="359"/>
        <v>1</v>
      </c>
      <c r="K376" s="53">
        <f t="shared" si="370"/>
        <v>1</v>
      </c>
      <c r="L376" s="28" t="str">
        <f t="shared" si="360"/>
        <v>閉</v>
      </c>
      <c r="M376" s="9">
        <f t="shared" si="371"/>
        <v>46090</v>
      </c>
      <c r="N376" s="10" t="str">
        <f t="shared" si="369"/>
        <v>月</v>
      </c>
      <c r="O376" s="63" t="str">
        <f>IF(AND(M376&gt;=VLOOKUP(M376,データ!$E$3:$G$9,1,TRUE),M376&lt;=VLOOKUP(M376,データ!$E$3:$G$9,2,TRUE)),VLOOKUP(M376,データ!$E$3:$G$9,3,TRUE),"")</f>
        <v/>
      </c>
      <c r="P376" s="63" t="str">
        <f>IF(AND(M376&gt;=VLOOKUP(M376,データ!$E$14:$G$21,1,TRUE),M376&lt;=VLOOKUP(M376,データ!$E$14:$G$21,2,TRUE)),VLOOKUP(M376,データ!$E$14:$G$21,3,TRUE),"")</f>
        <v/>
      </c>
      <c r="Q376" s="44" t="str">
        <f t="shared" si="361"/>
        <v>休</v>
      </c>
      <c r="R376" s="10"/>
      <c r="S376" s="10" t="str">
        <f t="shared" si="362"/>
        <v>休</v>
      </c>
      <c r="T376" s="45"/>
      <c r="U376" s="10" t="str">
        <f t="shared" si="363"/>
        <v>休</v>
      </c>
      <c r="V376" s="32"/>
      <c r="W376" s="33" t="str">
        <f t="shared" si="364"/>
        <v>休</v>
      </c>
      <c r="X376" s="8"/>
      <c r="Y376" s="33" t="str">
        <f t="shared" si="365"/>
        <v>休</v>
      </c>
      <c r="Z376" s="8" t="str">
        <f>IF(L376="閉","",(IF(AND(M376&gt;=VLOOKUP(M376,データ!$E$3:$G$9,1,TRUE),M376&lt;=VLOOKUP(M376,データ!$E$3:$G$9,2,TRUE)),VLOOKUP(M376,データ!$E$3:$H$9,4,TRUE),0)+IF(AND(M376&gt;=VLOOKUP(M376,データ!$E$14:$G$21,1,TRUE),M376&lt;=VLOOKUP(M376,データ!$E$14:$G$21,2,TRUE)),VLOOKUP(M376,データ!$E$14:$H$21,4,TRUE),0)))</f>
        <v/>
      </c>
      <c r="AA376" s="33" t="str">
        <f t="shared" si="366"/>
        <v>休</v>
      </c>
      <c r="AB376" s="227" t="str">
        <f t="shared" si="367"/>
        <v/>
      </c>
      <c r="AC376" s="227" t="str">
        <f t="shared" si="368"/>
        <v/>
      </c>
      <c r="AD376" s="228" t="str">
        <f>IF(K376=1,IF(ISERROR(VLOOKUP(M376,データ!$A$3:$C$23,2,FALSE)),"",VLOOKUP(M376,データ!$A$3:$C$23,2,FALSE)),(IF(ISERROR(VLOOKUP(M376,データ!$A$3:$C$23,2,FALSE)),"",VLOOKUP(M376,データ!$A$3:$C$23,2,FALSE))))</f>
        <v/>
      </c>
    </row>
    <row r="377" spans="1:30">
      <c r="A377" s="1">
        <f>IF(AND(M377&gt;=VLOOKUP(M377,データ!$K$3:$O$6,1,TRUE),M377&lt;=VLOOKUP(M377,データ!$K$3:$O$6,2,TRUE)),VLOOKUP(M377,データ!$K$3:$O$6,5,TRUE),"")</f>
        <v>1</v>
      </c>
      <c r="B377" s="74">
        <f>IF(AND(M377&gt;=VLOOKUP(M377,データ!$K$3:$O$6,1,TRUE),M377&lt;=VLOOKUP(M377,データ!$K$3:$O$6,2,TRUE)),VLOOKUP(M377,データ!$K$3:$O$6,3,TRUE),"")</f>
        <v>0.41666666666666669</v>
      </c>
      <c r="C377" s="1">
        <f>IF(AND(M377&gt;=VLOOKUP(M377,データ!$K$11:$O$16,1,TRUE),M377&lt;=VLOOKUP(M377,データ!$K$11:$O$16,2,TRUE)),VLOOKUP(M377,データ!$K$11:$O$16,5,TRUE),0)</f>
        <v>0</v>
      </c>
      <c r="D377" s="74" t="str">
        <f>IF(AND(M377&gt;=VLOOKUP(M377,データ!$K$11:$O$16,1,TRUE),M377&lt;=VLOOKUP(M377,データ!$K$11:$O$16,2,TRUE)),VLOOKUP(M377,データ!$K$11:$O$16,3,TRUE),"")</f>
        <v/>
      </c>
      <c r="E377" s="74">
        <f t="shared" si="358"/>
        <v>0.41666666666666669</v>
      </c>
      <c r="F377" s="75">
        <f>VLOOKUP(E377,データ!$K$20:$O$24,5,FALSE)</f>
        <v>0</v>
      </c>
      <c r="G377" s="74">
        <f>IF(AND(M377&gt;=VLOOKUP(M377,データ!$K$3:$O$6,1,TRUE),M377&lt;=VLOOKUP(M377,データ!$K$3:$O$6,2,TRUE)),VLOOKUP(M377,データ!$K$3:$O$6,4,TRUE),"")</f>
        <v>0.70833333333333337</v>
      </c>
      <c r="H377" s="256">
        <f>INDEX(データ!L$21:N$24,MATCH(配置表!E377,データ!K$21:K$24,0),MATCH(配置表!G377,データ!L$20:N$20,0))</f>
        <v>1</v>
      </c>
      <c r="I377" s="52" t="str">
        <f>IF(ISERROR(VLOOKUP(M377,データ!$A$3:$C$20,3,FALSE)),"",VLOOKUP(M377,データ!$A$3:$C$20,3,FALSE))</f>
        <v/>
      </c>
      <c r="J377" s="52" t="str">
        <f t="shared" si="359"/>
        <v/>
      </c>
      <c r="K377" s="53">
        <f t="shared" si="370"/>
        <v>0</v>
      </c>
      <c r="L377" s="28" t="str">
        <f t="shared" si="360"/>
        <v/>
      </c>
      <c r="M377" s="9">
        <f t="shared" si="371"/>
        <v>46091</v>
      </c>
      <c r="N377" s="10" t="str">
        <f t="shared" si="369"/>
        <v>火</v>
      </c>
      <c r="O377" s="63" t="str">
        <f>IF(AND(M377&gt;=VLOOKUP(M377,データ!$E$3:$G$9,1,TRUE),M377&lt;=VLOOKUP(M377,データ!$E$3:$G$9,2,TRUE)),VLOOKUP(M377,データ!$E$3:$G$9,3,TRUE),"")</f>
        <v/>
      </c>
      <c r="P377" s="63" t="str">
        <f>IF(AND(M377&gt;=VLOOKUP(M377,データ!$E$14:$G$21,1,TRUE),M377&lt;=VLOOKUP(M377,データ!$E$14:$G$21,2,TRUE)),VLOOKUP(M377,データ!$E$14:$G$21,3,TRUE),"")</f>
        <v>テーマ展</v>
      </c>
      <c r="Q377" s="44" t="str">
        <f t="shared" si="361"/>
        <v>○</v>
      </c>
      <c r="R377" s="8"/>
      <c r="S377" s="33" t="str">
        <f t="shared" si="362"/>
        <v/>
      </c>
      <c r="T377" s="8"/>
      <c r="U377" s="33" t="str">
        <f t="shared" si="363"/>
        <v>●</v>
      </c>
      <c r="V377" s="8"/>
      <c r="W377" s="33" t="str">
        <f t="shared" si="364"/>
        <v/>
      </c>
      <c r="X377" s="8"/>
      <c r="Y377" s="33" t="str">
        <f t="shared" si="365"/>
        <v>○</v>
      </c>
      <c r="Z377" s="8">
        <f>IF(L377="閉","",(IF(AND(M377&gt;=VLOOKUP(M377,データ!$E$3:$G$9,1,TRUE),M377&lt;=VLOOKUP(M377,データ!$E$3:$G$9,2,TRUE)),VLOOKUP(M377,データ!$E$3:$H$9,4,TRUE),0)+IF(AND(M377&gt;=VLOOKUP(M377,データ!$E$14:$G$21,1,TRUE),M377&lt;=VLOOKUP(M377,データ!$E$14:$G$21,2,TRUE)),VLOOKUP(M377,データ!$E$14:$H$21,4,TRUE),0)))</f>
        <v>1</v>
      </c>
      <c r="AA377" s="33" t="str">
        <f t="shared" si="366"/>
        <v>△</v>
      </c>
      <c r="AB377" s="227">
        <f t="shared" si="367"/>
        <v>0.41666666666666669</v>
      </c>
      <c r="AC377" s="227">
        <f t="shared" si="368"/>
        <v>0.70833333333333337</v>
      </c>
      <c r="AD377" s="228" t="str">
        <f>IF(K377=1,IF(ISERROR(VLOOKUP(M377,データ!$A$3:$C$23,2,FALSE)),"",VLOOKUP(M377,データ!$A$3:$C$23,2,FALSE)),(IF(ISERROR(VLOOKUP(M377,データ!$A$3:$C$23,2,FALSE)),"",VLOOKUP(M377,データ!$A$3:$C$23,2,FALSE))))</f>
        <v/>
      </c>
    </row>
    <row r="378" spans="1:30">
      <c r="A378" s="1">
        <f>IF(AND(M378&gt;=VLOOKUP(M378,データ!$K$3:$O$6,1,TRUE),M378&lt;=VLOOKUP(M378,データ!$K$3:$O$6,2,TRUE)),VLOOKUP(M378,データ!$K$3:$O$6,5,TRUE),"")</f>
        <v>1</v>
      </c>
      <c r="B378" s="74">
        <f>IF(AND(M378&gt;=VLOOKUP(M378,データ!$K$3:$O$6,1,TRUE),M378&lt;=VLOOKUP(M378,データ!$K$3:$O$6,2,TRUE)),VLOOKUP(M378,データ!$K$3:$O$6,3,TRUE),"")</f>
        <v>0.41666666666666669</v>
      </c>
      <c r="C378" s="1">
        <f>IF(AND(M378&gt;=VLOOKUP(M378,データ!$K$11:$O$16,1,TRUE),M378&lt;=VLOOKUP(M378,データ!$K$11:$O$16,2,TRUE)),VLOOKUP(M378,データ!$K$11:$O$16,5,TRUE),0)</f>
        <v>0</v>
      </c>
      <c r="D378" s="74" t="str">
        <f>IF(AND(M378&gt;=VLOOKUP(M378,データ!$K$11:$O$16,1,TRUE),M378&lt;=VLOOKUP(M378,データ!$K$11:$O$16,2,TRUE)),VLOOKUP(M378,データ!$K$11:$O$16,3,TRUE),"")</f>
        <v/>
      </c>
      <c r="E378" s="74">
        <f t="shared" si="358"/>
        <v>0.41666666666666669</v>
      </c>
      <c r="F378" s="75">
        <f>VLOOKUP(E378,データ!$K$20:$O$24,5,FALSE)</f>
        <v>0</v>
      </c>
      <c r="G378" s="74">
        <f>IF(AND(M378&gt;=VLOOKUP(M378,データ!$K$3:$O$6,1,TRUE),M378&lt;=VLOOKUP(M378,データ!$K$3:$O$6,2,TRUE)),VLOOKUP(M378,データ!$K$3:$O$6,4,TRUE),"")</f>
        <v>0.70833333333333337</v>
      </c>
      <c r="H378" s="256">
        <f>INDEX(データ!L$21:N$24,MATCH(配置表!E378,データ!K$21:K$24,0),MATCH(配置表!G378,データ!L$20:N$20,0))</f>
        <v>1</v>
      </c>
      <c r="I378" s="52" t="str">
        <f>IF(ISERROR(VLOOKUP(M378,データ!$A$3:$C$20,3,FALSE)),"",VLOOKUP(M378,データ!$A$3:$C$20,3,FALSE))</f>
        <v/>
      </c>
      <c r="J378" s="52" t="str">
        <f t="shared" si="359"/>
        <v/>
      </c>
      <c r="K378" s="53">
        <f t="shared" si="370"/>
        <v>0</v>
      </c>
      <c r="L378" s="28" t="str">
        <f t="shared" si="360"/>
        <v/>
      </c>
      <c r="M378" s="9">
        <f t="shared" si="371"/>
        <v>46092</v>
      </c>
      <c r="N378" s="10" t="str">
        <f t="shared" si="369"/>
        <v>水</v>
      </c>
      <c r="O378" s="63" t="str">
        <f>IF(AND(M378&gt;=VLOOKUP(M378,データ!$E$3:$G$9,1,TRUE),M378&lt;=VLOOKUP(M378,データ!$E$3:$G$9,2,TRUE)),VLOOKUP(M378,データ!$E$3:$G$9,3,TRUE),"")</f>
        <v/>
      </c>
      <c r="P378" s="63" t="str">
        <f>IF(AND(M378&gt;=VLOOKUP(M378,データ!$E$14:$G$21,1,TRUE),M378&lt;=VLOOKUP(M378,データ!$E$14:$G$21,2,TRUE)),VLOOKUP(M378,データ!$E$14:$G$21,3,TRUE),"")</f>
        <v>テーマ展</v>
      </c>
      <c r="Q378" s="44" t="str">
        <f t="shared" si="361"/>
        <v>○</v>
      </c>
      <c r="R378" s="10"/>
      <c r="S378" s="10" t="str">
        <f t="shared" si="362"/>
        <v/>
      </c>
      <c r="T378" s="45"/>
      <c r="U378" s="10" t="str">
        <f t="shared" si="363"/>
        <v>●</v>
      </c>
      <c r="V378" s="32"/>
      <c r="W378" s="33" t="str">
        <f t="shared" si="364"/>
        <v/>
      </c>
      <c r="X378" s="8"/>
      <c r="Y378" s="33" t="str">
        <f t="shared" si="365"/>
        <v>○</v>
      </c>
      <c r="Z378" s="8">
        <f>IF(L378="閉","",(IF(AND(M378&gt;=VLOOKUP(M378,データ!$E$3:$G$9,1,TRUE),M378&lt;=VLOOKUP(M378,データ!$E$3:$G$9,2,TRUE)),VLOOKUP(M378,データ!$E$3:$H$9,4,TRUE),0)+IF(AND(M378&gt;=VLOOKUP(M378,データ!$E$14:$G$21,1,TRUE),M378&lt;=VLOOKUP(M378,データ!$E$14:$G$21,2,TRUE)),VLOOKUP(M378,データ!$E$14:$H$21,4,TRUE),0)))</f>
        <v>1</v>
      </c>
      <c r="AA378" s="33" t="str">
        <f t="shared" si="366"/>
        <v>△</v>
      </c>
      <c r="AB378" s="227">
        <f t="shared" si="367"/>
        <v>0.41666666666666669</v>
      </c>
      <c r="AC378" s="227">
        <f t="shared" si="368"/>
        <v>0.70833333333333337</v>
      </c>
      <c r="AD378" s="228" t="str">
        <f>IF(K378=1,IF(ISERROR(VLOOKUP(M378,データ!$A$3:$C$23,2,FALSE)),"",VLOOKUP(M378,データ!$A$3:$C$23,2,FALSE)),(IF(ISERROR(VLOOKUP(M378,データ!$A$3:$C$23,2,FALSE)),"",VLOOKUP(M378,データ!$A$3:$C$23,2,FALSE))))</f>
        <v/>
      </c>
    </row>
    <row r="379" spans="1:30">
      <c r="A379" s="1">
        <f>IF(AND(M379&gt;=VLOOKUP(M379,データ!$K$3:$O$6,1,TRUE),M379&lt;=VLOOKUP(M379,データ!$K$3:$O$6,2,TRUE)),VLOOKUP(M379,データ!$K$3:$O$6,5,TRUE),"")</f>
        <v>1</v>
      </c>
      <c r="B379" s="74">
        <f>IF(AND(M379&gt;=VLOOKUP(M379,データ!$K$3:$O$6,1,TRUE),M379&lt;=VLOOKUP(M379,データ!$K$3:$O$6,2,TRUE)),VLOOKUP(M379,データ!$K$3:$O$6,3,TRUE),"")</f>
        <v>0.41666666666666669</v>
      </c>
      <c r="C379" s="1">
        <f>IF(AND(M379&gt;=VLOOKUP(M379,データ!$K$11:$O$16,1,TRUE),M379&lt;=VLOOKUP(M379,データ!$K$11:$O$16,2,TRUE)),VLOOKUP(M379,データ!$K$11:$O$16,5,TRUE),0)</f>
        <v>0</v>
      </c>
      <c r="D379" s="74" t="str">
        <f>IF(AND(M379&gt;=VLOOKUP(M379,データ!$K$11:$O$16,1,TRUE),M379&lt;=VLOOKUP(M379,データ!$K$11:$O$16,2,TRUE)),VLOOKUP(M379,データ!$K$11:$O$16,3,TRUE),"")</f>
        <v/>
      </c>
      <c r="E379" s="74">
        <f t="shared" si="358"/>
        <v>0.41666666666666669</v>
      </c>
      <c r="F379" s="75">
        <f>VLOOKUP(E379,データ!$K$20:$O$24,5,FALSE)</f>
        <v>0</v>
      </c>
      <c r="G379" s="74">
        <f>IF(AND(M379&gt;=VLOOKUP(M379,データ!$K$3:$O$6,1,TRUE),M379&lt;=VLOOKUP(M379,データ!$K$3:$O$6,2,TRUE)),VLOOKUP(M379,データ!$K$3:$O$6,4,TRUE),"")</f>
        <v>0.70833333333333337</v>
      </c>
      <c r="H379" s="256">
        <f>INDEX(データ!L$21:N$24,MATCH(配置表!E379,データ!K$21:K$24,0),MATCH(配置表!G379,データ!L$20:N$20,0))</f>
        <v>1</v>
      </c>
      <c r="I379" s="52" t="str">
        <f>IF(ISERROR(VLOOKUP(M379,データ!$A$3:$C$20,3,FALSE)),"",VLOOKUP(M379,データ!$A$3:$C$20,3,FALSE))</f>
        <v/>
      </c>
      <c r="J379" s="52" t="str">
        <f t="shared" si="359"/>
        <v/>
      </c>
      <c r="K379" s="53">
        <f t="shared" si="370"/>
        <v>0</v>
      </c>
      <c r="L379" s="28" t="str">
        <f t="shared" si="360"/>
        <v/>
      </c>
      <c r="M379" s="9">
        <f t="shared" si="371"/>
        <v>46093</v>
      </c>
      <c r="N379" s="10" t="str">
        <f t="shared" si="369"/>
        <v>木</v>
      </c>
      <c r="O379" s="63" t="str">
        <f>IF(AND(M379&gt;=VLOOKUP(M379,データ!$E$3:$G$9,1,TRUE),M379&lt;=VLOOKUP(M379,データ!$E$3:$G$9,2,TRUE)),VLOOKUP(M379,データ!$E$3:$G$9,3,TRUE),"")</f>
        <v/>
      </c>
      <c r="P379" s="63" t="str">
        <f>IF(AND(M379&gt;=VLOOKUP(M379,データ!$E$14:$G$21,1,TRUE),M379&lt;=VLOOKUP(M379,データ!$E$14:$G$21,2,TRUE)),VLOOKUP(M379,データ!$E$14:$G$21,3,TRUE),"")</f>
        <v>テーマ展</v>
      </c>
      <c r="Q379" s="44" t="str">
        <f t="shared" si="361"/>
        <v>○</v>
      </c>
      <c r="R379" s="10"/>
      <c r="S379" s="10" t="str">
        <f t="shared" si="362"/>
        <v/>
      </c>
      <c r="T379" s="45"/>
      <c r="U379" s="10" t="str">
        <f t="shared" si="363"/>
        <v>●</v>
      </c>
      <c r="V379" s="32"/>
      <c r="W379" s="33" t="str">
        <f t="shared" si="364"/>
        <v/>
      </c>
      <c r="X379" s="8"/>
      <c r="Y379" s="33" t="str">
        <f t="shared" si="365"/>
        <v>○</v>
      </c>
      <c r="Z379" s="8">
        <f>IF(L379="閉","",(IF(AND(M379&gt;=VLOOKUP(M379,データ!$E$3:$G$9,1,TRUE),M379&lt;=VLOOKUP(M379,データ!$E$3:$G$9,2,TRUE)),VLOOKUP(M379,データ!$E$3:$H$9,4,TRUE),0)+IF(AND(M379&gt;=VLOOKUP(M379,データ!$E$14:$G$21,1,TRUE),M379&lt;=VLOOKUP(M379,データ!$E$14:$G$21,2,TRUE)),VLOOKUP(M379,データ!$E$14:$H$21,4,TRUE),0)))</f>
        <v>1</v>
      </c>
      <c r="AA379" s="33" t="str">
        <f t="shared" si="366"/>
        <v>△</v>
      </c>
      <c r="AB379" s="227">
        <f t="shared" si="367"/>
        <v>0.41666666666666669</v>
      </c>
      <c r="AC379" s="227">
        <f t="shared" si="368"/>
        <v>0.70833333333333337</v>
      </c>
      <c r="AD379" s="228" t="str">
        <f>IF(K379=1,IF(ISERROR(VLOOKUP(M379,データ!$A$3:$C$23,2,FALSE)),"",VLOOKUP(M379,データ!$A$3:$C$23,2,FALSE)),(IF(ISERROR(VLOOKUP(M379,データ!$A$3:$C$23,2,FALSE)),"",VLOOKUP(M379,データ!$A$3:$C$23,2,FALSE))))</f>
        <v/>
      </c>
    </row>
    <row r="380" spans="1:30">
      <c r="A380" s="1">
        <f>IF(AND(M380&gt;=VLOOKUP(M380,データ!$K$3:$O$6,1,TRUE),M380&lt;=VLOOKUP(M380,データ!$K$3:$O$6,2,TRUE)),VLOOKUP(M380,データ!$K$3:$O$6,5,TRUE),"")</f>
        <v>1</v>
      </c>
      <c r="B380" s="74">
        <f>IF(AND(M380&gt;=VLOOKUP(M380,データ!$K$3:$O$6,1,TRUE),M380&lt;=VLOOKUP(M380,データ!$K$3:$O$6,2,TRUE)),VLOOKUP(M380,データ!$K$3:$O$6,3,TRUE),"")</f>
        <v>0.41666666666666669</v>
      </c>
      <c r="C380" s="1">
        <f>IF(AND(M380&gt;=VLOOKUP(M380,データ!$K$11:$O$16,1,TRUE),M380&lt;=VLOOKUP(M380,データ!$K$11:$O$16,2,TRUE)),VLOOKUP(M380,データ!$K$11:$O$16,5,TRUE),0)</f>
        <v>0</v>
      </c>
      <c r="D380" s="74" t="str">
        <f>IF(AND(M380&gt;=VLOOKUP(M380,データ!$K$11:$O$16,1,TRUE),M380&lt;=VLOOKUP(M380,データ!$K$11:$O$16,2,TRUE)),VLOOKUP(M380,データ!$K$11:$O$16,3,TRUE),"")</f>
        <v/>
      </c>
      <c r="E380" s="74">
        <f t="shared" si="358"/>
        <v>0.41666666666666669</v>
      </c>
      <c r="F380" s="75">
        <f>VLOOKUP(E380,データ!$K$20:$O$24,5,FALSE)</f>
        <v>0</v>
      </c>
      <c r="G380" s="74">
        <f>IF(AND(M380&gt;=VLOOKUP(M380,データ!$K$3:$O$6,1,TRUE),M380&lt;=VLOOKUP(M380,データ!$K$3:$O$6,2,TRUE)),VLOOKUP(M380,データ!$K$3:$O$6,4,TRUE),"")</f>
        <v>0.70833333333333337</v>
      </c>
      <c r="H380" s="256">
        <f>INDEX(データ!L$21:N$24,MATCH(配置表!E380,データ!K$21:K$24,0),MATCH(配置表!G380,データ!L$20:N$20,0))</f>
        <v>1</v>
      </c>
      <c r="I380" s="52" t="str">
        <f>IF(ISERROR(VLOOKUP(M380,データ!$A$3:$C$20,3,FALSE)),"",VLOOKUP(M380,データ!$A$3:$C$20,3,FALSE))</f>
        <v/>
      </c>
      <c r="J380" s="52" t="str">
        <f t="shared" si="359"/>
        <v/>
      </c>
      <c r="K380" s="53">
        <f t="shared" si="370"/>
        <v>0</v>
      </c>
      <c r="L380" s="28" t="str">
        <f t="shared" si="360"/>
        <v/>
      </c>
      <c r="M380" s="9">
        <f t="shared" si="371"/>
        <v>46094</v>
      </c>
      <c r="N380" s="10" t="str">
        <f t="shared" si="369"/>
        <v>金</v>
      </c>
      <c r="O380" s="63" t="str">
        <f>IF(AND(M380&gt;=VLOOKUP(M380,データ!$E$3:$G$9,1,TRUE),M380&lt;=VLOOKUP(M380,データ!$E$3:$G$9,2,TRUE)),VLOOKUP(M380,データ!$E$3:$G$9,3,TRUE),"")</f>
        <v/>
      </c>
      <c r="P380" s="63" t="str">
        <f>IF(AND(M380&gt;=VLOOKUP(M380,データ!$E$14:$G$21,1,TRUE),M380&lt;=VLOOKUP(M380,データ!$E$14:$G$21,2,TRUE)),VLOOKUP(M380,データ!$E$14:$G$21,3,TRUE),"")</f>
        <v>テーマ展</v>
      </c>
      <c r="Q380" s="44" t="str">
        <f t="shared" si="361"/>
        <v>○</v>
      </c>
      <c r="R380" s="10"/>
      <c r="S380" s="10" t="str">
        <f t="shared" si="362"/>
        <v/>
      </c>
      <c r="T380" s="45"/>
      <c r="U380" s="10" t="str">
        <f t="shared" si="363"/>
        <v>●</v>
      </c>
      <c r="V380" s="32"/>
      <c r="W380" s="33" t="str">
        <f t="shared" si="364"/>
        <v/>
      </c>
      <c r="X380" s="8"/>
      <c r="Y380" s="33" t="str">
        <f t="shared" si="365"/>
        <v>○</v>
      </c>
      <c r="Z380" s="8">
        <f>IF(L380="閉","",(IF(AND(M380&gt;=VLOOKUP(M380,データ!$E$3:$G$9,1,TRUE),M380&lt;=VLOOKUP(M380,データ!$E$3:$G$9,2,TRUE)),VLOOKUP(M380,データ!$E$3:$H$9,4,TRUE),0)+IF(AND(M380&gt;=VLOOKUP(M380,データ!$E$14:$G$21,1,TRUE),M380&lt;=VLOOKUP(M380,データ!$E$14:$G$21,2,TRUE)),VLOOKUP(M380,データ!$E$14:$H$21,4,TRUE),0)))</f>
        <v>1</v>
      </c>
      <c r="AA380" s="33" t="str">
        <f t="shared" si="366"/>
        <v>△</v>
      </c>
      <c r="AB380" s="227">
        <f t="shared" si="367"/>
        <v>0.41666666666666669</v>
      </c>
      <c r="AC380" s="227">
        <f t="shared" si="368"/>
        <v>0.70833333333333337</v>
      </c>
      <c r="AD380" s="228" t="str">
        <f>IF(K380=1,IF(ISERROR(VLOOKUP(M380,データ!$A$3:$C$23,2,FALSE)),"",VLOOKUP(M380,データ!$A$3:$C$23,2,FALSE)),(IF(ISERROR(VLOOKUP(M380,データ!$A$3:$C$23,2,FALSE)),"",VLOOKUP(M380,データ!$A$3:$C$23,2,FALSE))))</f>
        <v/>
      </c>
    </row>
    <row r="381" spans="1:30">
      <c r="A381" s="1">
        <f>IF(AND(M381&gt;=VLOOKUP(M381,データ!$K$3:$O$6,1,TRUE),M381&lt;=VLOOKUP(M381,データ!$K$3:$O$6,2,TRUE)),VLOOKUP(M381,データ!$K$3:$O$6,5,TRUE),"")</f>
        <v>1</v>
      </c>
      <c r="B381" s="74">
        <f>IF(AND(M381&gt;=VLOOKUP(M381,データ!$K$3:$O$6,1,TRUE),M381&lt;=VLOOKUP(M381,データ!$K$3:$O$6,2,TRUE)),VLOOKUP(M381,データ!$K$3:$O$6,3,TRUE),"")</f>
        <v>0.41666666666666669</v>
      </c>
      <c r="C381" s="1">
        <f>IF(AND(M381&gt;=VLOOKUP(M381,データ!$K$11:$O$16,1,TRUE),M381&lt;=VLOOKUP(M381,データ!$K$11:$O$16,2,TRUE)),VLOOKUP(M381,データ!$K$11:$O$16,5,TRUE),0)</f>
        <v>0</v>
      </c>
      <c r="D381" s="74" t="str">
        <f>IF(AND(M381&gt;=VLOOKUP(M381,データ!$K$11:$O$16,1,TRUE),M381&lt;=VLOOKUP(M381,データ!$K$11:$O$16,2,TRUE)),VLOOKUP(M381,データ!$K$11:$O$16,3,TRUE),"")</f>
        <v/>
      </c>
      <c r="E381" s="74">
        <f t="shared" si="358"/>
        <v>0.41666666666666669</v>
      </c>
      <c r="F381" s="75">
        <f>VLOOKUP(E381,データ!$K$20:$O$24,5,FALSE)</f>
        <v>0</v>
      </c>
      <c r="G381" s="74">
        <f>IF(AND(M381&gt;=VLOOKUP(M381,データ!$K$3:$O$6,1,TRUE),M381&lt;=VLOOKUP(M381,データ!$K$3:$O$6,2,TRUE)),VLOOKUP(M381,データ!$K$3:$O$6,4,TRUE),"")</f>
        <v>0.70833333333333337</v>
      </c>
      <c r="H381" s="256">
        <f>INDEX(データ!L$21:N$24,MATCH(配置表!E381,データ!K$21:K$24,0),MATCH(配置表!G381,データ!L$20:N$20,0))</f>
        <v>1</v>
      </c>
      <c r="I381" s="52" t="str">
        <f>IF(ISERROR(VLOOKUP(M381,データ!$A$3:$C$20,3,FALSE)),"",VLOOKUP(M381,データ!$A$3:$C$20,3,FALSE))</f>
        <v/>
      </c>
      <c r="J381" s="52" t="str">
        <f t="shared" si="359"/>
        <v/>
      </c>
      <c r="K381" s="53">
        <f t="shared" si="370"/>
        <v>0</v>
      </c>
      <c r="L381" s="28" t="str">
        <f t="shared" si="360"/>
        <v/>
      </c>
      <c r="M381" s="9">
        <f t="shared" si="371"/>
        <v>46095</v>
      </c>
      <c r="N381" s="10" t="str">
        <f t="shared" si="369"/>
        <v>土</v>
      </c>
      <c r="O381" s="63" t="str">
        <f>IF(AND(M381&gt;=VLOOKUP(M381,データ!$E$3:$G$9,1,TRUE),M381&lt;=VLOOKUP(M381,データ!$E$3:$G$9,2,TRUE)),VLOOKUP(M381,データ!$E$3:$G$9,3,TRUE),"")</f>
        <v/>
      </c>
      <c r="P381" s="63" t="str">
        <f>IF(AND(M381&gt;=VLOOKUP(M381,データ!$E$14:$G$21,1,TRUE),M381&lt;=VLOOKUP(M381,データ!$E$14:$G$21,2,TRUE)),VLOOKUP(M381,データ!$E$14:$G$21,3,TRUE),"")</f>
        <v>テーマ展</v>
      </c>
      <c r="Q381" s="44" t="str">
        <f t="shared" si="361"/>
        <v>○</v>
      </c>
      <c r="R381" s="10"/>
      <c r="S381" s="10" t="str">
        <f t="shared" si="362"/>
        <v/>
      </c>
      <c r="T381" s="45"/>
      <c r="U381" s="10" t="str">
        <f t="shared" si="363"/>
        <v>●</v>
      </c>
      <c r="V381" s="32"/>
      <c r="W381" s="33" t="str">
        <f t="shared" si="364"/>
        <v/>
      </c>
      <c r="X381" s="8"/>
      <c r="Y381" s="33" t="str">
        <f t="shared" si="365"/>
        <v>○</v>
      </c>
      <c r="Z381" s="8">
        <f>IF(L381="閉","",(IF(AND(M381&gt;=VLOOKUP(M381,データ!$E$3:$G$9,1,TRUE),M381&lt;=VLOOKUP(M381,データ!$E$3:$G$9,2,TRUE)),VLOOKUP(M381,データ!$E$3:$H$9,4,TRUE),0)+IF(AND(M381&gt;=VLOOKUP(M381,データ!$E$14:$G$21,1,TRUE),M381&lt;=VLOOKUP(M381,データ!$E$14:$G$21,2,TRUE)),VLOOKUP(M381,データ!$E$14:$H$21,4,TRUE),0)))</f>
        <v>1</v>
      </c>
      <c r="AA381" s="33" t="str">
        <f t="shared" si="366"/>
        <v>△</v>
      </c>
      <c r="AB381" s="227">
        <f t="shared" si="367"/>
        <v>0.41666666666666669</v>
      </c>
      <c r="AC381" s="227">
        <f t="shared" si="368"/>
        <v>0.70833333333333337</v>
      </c>
      <c r="AD381" s="228" t="str">
        <f>IF(K381=1,IF(ISERROR(VLOOKUP(M381,データ!$A$3:$C$23,2,FALSE)),"",VLOOKUP(M381,データ!$A$3:$C$23,2,FALSE)),(IF(ISERROR(VLOOKUP(M381,データ!$A$3:$C$23,2,FALSE)),"",VLOOKUP(M381,データ!$A$3:$C$23,2,FALSE))))</f>
        <v/>
      </c>
    </row>
    <row r="382" spans="1:30">
      <c r="A382" s="1">
        <f>IF(AND(M382&gt;=VLOOKUP(M382,データ!$K$3:$O$6,1,TRUE),M382&lt;=VLOOKUP(M382,データ!$K$3:$O$6,2,TRUE)),VLOOKUP(M382,データ!$K$3:$O$6,5,TRUE),"")</f>
        <v>1</v>
      </c>
      <c r="B382" s="74">
        <f>IF(AND(M382&gt;=VLOOKUP(M382,データ!$K$3:$O$6,1,TRUE),M382&lt;=VLOOKUP(M382,データ!$K$3:$O$6,2,TRUE)),VLOOKUP(M382,データ!$K$3:$O$6,3,TRUE),"")</f>
        <v>0.41666666666666669</v>
      </c>
      <c r="C382" s="1">
        <f>IF(AND(M382&gt;=VLOOKUP(M382,データ!$K$11:$O$16,1,TRUE),M382&lt;=VLOOKUP(M382,データ!$K$11:$O$16,2,TRUE)),VLOOKUP(M382,データ!$K$11:$O$16,5,TRUE),0)</f>
        <v>0</v>
      </c>
      <c r="D382" s="74" t="str">
        <f>IF(AND(M382&gt;=VLOOKUP(M382,データ!$K$11:$O$16,1,TRUE),M382&lt;=VLOOKUP(M382,データ!$K$11:$O$16,2,TRUE)),VLOOKUP(M382,データ!$K$11:$O$16,3,TRUE),"")</f>
        <v/>
      </c>
      <c r="E382" s="74">
        <f t="shared" si="358"/>
        <v>0.41666666666666669</v>
      </c>
      <c r="F382" s="75">
        <f>VLOOKUP(E382,データ!$K$20:$O$24,5,FALSE)</f>
        <v>0</v>
      </c>
      <c r="G382" s="74">
        <f>IF(AND(M382&gt;=VLOOKUP(M382,データ!$K$3:$O$6,1,TRUE),M382&lt;=VLOOKUP(M382,データ!$K$3:$O$6,2,TRUE)),VLOOKUP(M382,データ!$K$3:$O$6,4,TRUE),"")</f>
        <v>0.70833333333333337</v>
      </c>
      <c r="H382" s="256">
        <f>INDEX(データ!L$21:N$24,MATCH(配置表!E382,データ!K$21:K$24,0),MATCH(配置表!G382,データ!L$20:N$20,0))</f>
        <v>1</v>
      </c>
      <c r="I382" s="52" t="str">
        <f>IF(ISERROR(VLOOKUP(M382,データ!$A$3:$C$20,3,FALSE)),"",VLOOKUP(M382,データ!$A$3:$C$20,3,FALSE))</f>
        <v/>
      </c>
      <c r="J382" s="52" t="str">
        <f t="shared" si="359"/>
        <v/>
      </c>
      <c r="K382" s="53">
        <f t="shared" si="370"/>
        <v>0</v>
      </c>
      <c r="L382" s="28" t="str">
        <f t="shared" si="360"/>
        <v/>
      </c>
      <c r="M382" s="9">
        <f t="shared" si="371"/>
        <v>46096</v>
      </c>
      <c r="N382" s="10" t="str">
        <f t="shared" si="369"/>
        <v>日</v>
      </c>
      <c r="O382" s="63" t="str">
        <f>IF(AND(M382&gt;=VLOOKUP(M382,データ!$E$3:$G$9,1,TRUE),M382&lt;=VLOOKUP(M382,データ!$E$3:$G$9,2,TRUE)),VLOOKUP(M382,データ!$E$3:$G$9,3,TRUE),"")</f>
        <v/>
      </c>
      <c r="P382" s="63" t="str">
        <f>IF(AND(M382&gt;=VLOOKUP(M382,データ!$E$14:$G$21,1,TRUE),M382&lt;=VLOOKUP(M382,データ!$E$14:$G$21,2,TRUE)),VLOOKUP(M382,データ!$E$14:$G$21,3,TRUE),"")</f>
        <v>テーマ展</v>
      </c>
      <c r="Q382" s="44" t="str">
        <f t="shared" si="361"/>
        <v>○</v>
      </c>
      <c r="R382" s="10"/>
      <c r="S382" s="10" t="str">
        <f t="shared" si="362"/>
        <v/>
      </c>
      <c r="T382" s="45"/>
      <c r="U382" s="10" t="str">
        <f t="shared" si="363"/>
        <v>●</v>
      </c>
      <c r="V382" s="32"/>
      <c r="W382" s="33" t="str">
        <f t="shared" si="364"/>
        <v/>
      </c>
      <c r="X382" s="8"/>
      <c r="Y382" s="33" t="str">
        <f t="shared" si="365"/>
        <v>○</v>
      </c>
      <c r="Z382" s="8">
        <f>IF(L382="閉","",(IF(AND(M382&gt;=VLOOKUP(M382,データ!$E$3:$G$9,1,TRUE),M382&lt;=VLOOKUP(M382,データ!$E$3:$G$9,2,TRUE)),VLOOKUP(M382,データ!$E$3:$H$9,4,TRUE),0)+IF(AND(M382&gt;=VLOOKUP(M382,データ!$E$14:$G$21,1,TRUE),M382&lt;=VLOOKUP(M382,データ!$E$14:$G$21,2,TRUE)),VLOOKUP(M382,データ!$E$14:$H$21,4,TRUE),0)))</f>
        <v>1</v>
      </c>
      <c r="AA382" s="33" t="str">
        <f t="shared" si="366"/>
        <v>△</v>
      </c>
      <c r="AB382" s="227">
        <f t="shared" si="367"/>
        <v>0.41666666666666669</v>
      </c>
      <c r="AC382" s="227">
        <f t="shared" si="368"/>
        <v>0.70833333333333337</v>
      </c>
      <c r="AD382" s="228" t="str">
        <f>IF(K382=1,IF(ISERROR(VLOOKUP(M382,データ!$A$3:$C$23,2,FALSE)),"",VLOOKUP(M382,データ!$A$3:$C$23,2,FALSE)),(IF(ISERROR(VLOOKUP(M382,データ!$A$3:$C$23,2,FALSE)),"",VLOOKUP(M382,データ!$A$3:$C$23,2,FALSE))))</f>
        <v/>
      </c>
    </row>
    <row r="383" spans="1:30">
      <c r="A383" s="1">
        <f>IF(AND(M383&gt;=VLOOKUP(M383,データ!$K$3:$O$6,1,TRUE),M383&lt;=VLOOKUP(M383,データ!$K$3:$O$6,2,TRUE)),VLOOKUP(M383,データ!$K$3:$O$6,5,TRUE),"")</f>
        <v>1</v>
      </c>
      <c r="B383" s="74">
        <f>IF(AND(M383&gt;=VLOOKUP(M383,データ!$K$3:$O$6,1,TRUE),M383&lt;=VLOOKUP(M383,データ!$K$3:$O$6,2,TRUE)),VLOOKUP(M383,データ!$K$3:$O$6,3,TRUE),"")</f>
        <v>0.41666666666666669</v>
      </c>
      <c r="C383" s="1">
        <f>IF(AND(M383&gt;=VLOOKUP(M383,データ!$K$11:$O$16,1,TRUE),M383&lt;=VLOOKUP(M383,データ!$K$11:$O$16,2,TRUE)),VLOOKUP(M383,データ!$K$11:$O$16,5,TRUE),0)</f>
        <v>0</v>
      </c>
      <c r="D383" s="74" t="str">
        <f>IF(AND(M383&gt;=VLOOKUP(M383,データ!$K$11:$O$16,1,TRUE),M383&lt;=VLOOKUP(M383,データ!$K$11:$O$16,2,TRUE)),VLOOKUP(M383,データ!$K$11:$O$16,3,TRUE),"")</f>
        <v/>
      </c>
      <c r="E383" s="74">
        <f t="shared" si="358"/>
        <v>0.41666666666666669</v>
      </c>
      <c r="F383" s="75">
        <f>VLOOKUP(E383,データ!$K$20:$O$24,5,FALSE)</f>
        <v>0</v>
      </c>
      <c r="G383" s="74">
        <f>IF(AND(M383&gt;=VLOOKUP(M383,データ!$K$3:$O$6,1,TRUE),M383&lt;=VLOOKUP(M383,データ!$K$3:$O$6,2,TRUE)),VLOOKUP(M383,データ!$K$3:$O$6,4,TRUE),"")</f>
        <v>0.70833333333333337</v>
      </c>
      <c r="H383" s="256">
        <f>INDEX(データ!L$21:N$24,MATCH(配置表!E383,データ!K$21:K$24,0),MATCH(配置表!G383,データ!L$20:N$20,0))</f>
        <v>1</v>
      </c>
      <c r="I383" s="52" t="str">
        <f>IF(ISERROR(VLOOKUP(M383,データ!$A$3:$C$20,3,FALSE)),"",VLOOKUP(M383,データ!$A$3:$C$20,3,FALSE))</f>
        <v/>
      </c>
      <c r="J383" s="52">
        <f t="shared" si="359"/>
        <v>1</v>
      </c>
      <c r="K383" s="53">
        <f t="shared" si="370"/>
        <v>1</v>
      </c>
      <c r="L383" s="28" t="str">
        <f t="shared" si="360"/>
        <v>閉</v>
      </c>
      <c r="M383" s="9">
        <f t="shared" si="371"/>
        <v>46097</v>
      </c>
      <c r="N383" s="10" t="str">
        <f t="shared" si="369"/>
        <v>月</v>
      </c>
      <c r="O383" s="63" t="str">
        <f>IF(AND(M383&gt;=VLOOKUP(M383,データ!$E$3:$G$9,1,TRUE),M383&lt;=VLOOKUP(M383,データ!$E$3:$G$9,2,TRUE)),VLOOKUP(M383,データ!$E$3:$G$9,3,TRUE),"")</f>
        <v/>
      </c>
      <c r="P383" s="63" t="str">
        <f>IF(AND(M383&gt;=VLOOKUP(M383,データ!$E$14:$G$21,1,TRUE),M383&lt;=VLOOKUP(M383,データ!$E$14:$G$21,2,TRUE)),VLOOKUP(M383,データ!$E$14:$G$21,3,TRUE),"")</f>
        <v>テーマ展</v>
      </c>
      <c r="Q383" s="44" t="str">
        <f t="shared" si="361"/>
        <v>休</v>
      </c>
      <c r="R383" s="10"/>
      <c r="S383" s="10" t="str">
        <f t="shared" si="362"/>
        <v>休</v>
      </c>
      <c r="T383" s="45"/>
      <c r="U383" s="10" t="str">
        <f t="shared" si="363"/>
        <v>休</v>
      </c>
      <c r="V383" s="32"/>
      <c r="W383" s="33" t="str">
        <f t="shared" si="364"/>
        <v>休</v>
      </c>
      <c r="X383" s="8"/>
      <c r="Y383" s="33" t="str">
        <f t="shared" si="365"/>
        <v>休</v>
      </c>
      <c r="Z383" s="8" t="str">
        <f>IF(L383="閉","",(IF(AND(M383&gt;=VLOOKUP(M383,データ!$E$3:$G$9,1,TRUE),M383&lt;=VLOOKUP(M383,データ!$E$3:$G$9,2,TRUE)),VLOOKUP(M383,データ!$E$3:$H$9,4,TRUE),0)+IF(AND(M383&gt;=VLOOKUP(M383,データ!$E$14:$G$21,1,TRUE),M383&lt;=VLOOKUP(M383,データ!$E$14:$G$21,2,TRUE)),VLOOKUP(M383,データ!$E$14:$H$21,4,TRUE),0)))</f>
        <v/>
      </c>
      <c r="AA383" s="33" t="str">
        <f t="shared" si="366"/>
        <v>休</v>
      </c>
      <c r="AB383" s="227" t="str">
        <f t="shared" si="367"/>
        <v/>
      </c>
      <c r="AC383" s="227" t="str">
        <f t="shared" si="368"/>
        <v/>
      </c>
      <c r="AD383" s="228" t="str">
        <f>IF(K383=1,IF(ISERROR(VLOOKUP(M383,データ!$A$3:$C$23,2,FALSE)),"",VLOOKUP(M383,データ!$A$3:$C$23,2,FALSE)),(IF(ISERROR(VLOOKUP(M383,データ!$A$3:$C$23,2,FALSE)),"",VLOOKUP(M383,データ!$A$3:$C$23,2,FALSE))))</f>
        <v/>
      </c>
    </row>
    <row r="384" spans="1:30">
      <c r="A384" s="1">
        <f>IF(AND(M384&gt;=VLOOKUP(M384,データ!$K$3:$O$6,1,TRUE),M384&lt;=VLOOKUP(M384,データ!$K$3:$O$6,2,TRUE)),VLOOKUP(M384,データ!$K$3:$O$6,5,TRUE),"")</f>
        <v>1</v>
      </c>
      <c r="B384" s="74">
        <f>IF(AND(M384&gt;=VLOOKUP(M384,データ!$K$3:$O$6,1,TRUE),M384&lt;=VLOOKUP(M384,データ!$K$3:$O$6,2,TRUE)),VLOOKUP(M384,データ!$K$3:$O$6,3,TRUE),"")</f>
        <v>0.41666666666666669</v>
      </c>
      <c r="C384" s="1">
        <f>IF(AND(M384&gt;=VLOOKUP(M384,データ!$K$11:$O$16,1,TRUE),M384&lt;=VLOOKUP(M384,データ!$K$11:$O$16,2,TRUE)),VLOOKUP(M384,データ!$K$11:$O$16,5,TRUE),0)</f>
        <v>0</v>
      </c>
      <c r="D384" s="74" t="str">
        <f>IF(AND(M384&gt;=VLOOKUP(M384,データ!$K$11:$O$16,1,TRUE),M384&lt;=VLOOKUP(M384,データ!$K$11:$O$16,2,TRUE)),VLOOKUP(M384,データ!$K$11:$O$16,3,TRUE),"")</f>
        <v/>
      </c>
      <c r="E384" s="74">
        <f t="shared" si="358"/>
        <v>0.41666666666666669</v>
      </c>
      <c r="F384" s="75">
        <f>VLOOKUP(E384,データ!$K$20:$O$24,5,FALSE)</f>
        <v>0</v>
      </c>
      <c r="G384" s="74">
        <f>IF(AND(M384&gt;=VLOOKUP(M384,データ!$K$3:$O$6,1,TRUE),M384&lt;=VLOOKUP(M384,データ!$K$3:$O$6,2,TRUE)),VLOOKUP(M384,データ!$K$3:$O$6,4,TRUE),"")</f>
        <v>0.70833333333333337</v>
      </c>
      <c r="H384" s="256">
        <f>INDEX(データ!L$21:N$24,MATCH(配置表!E384,データ!K$21:K$24,0),MATCH(配置表!G384,データ!L$20:N$20,0))</f>
        <v>1</v>
      </c>
      <c r="I384" s="52" t="str">
        <f>IF(ISERROR(VLOOKUP(M384,データ!$A$3:$C$20,3,FALSE)),"",VLOOKUP(M384,データ!$A$3:$C$20,3,FALSE))</f>
        <v/>
      </c>
      <c r="J384" s="52" t="str">
        <f t="shared" si="359"/>
        <v/>
      </c>
      <c r="K384" s="53">
        <f t="shared" si="370"/>
        <v>0</v>
      </c>
      <c r="L384" s="28" t="str">
        <f t="shared" si="360"/>
        <v/>
      </c>
      <c r="M384" s="9">
        <f t="shared" si="371"/>
        <v>46098</v>
      </c>
      <c r="N384" s="10" t="str">
        <f t="shared" si="369"/>
        <v>火</v>
      </c>
      <c r="O384" s="63" t="str">
        <f>IF(AND(M384&gt;=VLOOKUP(M384,データ!$E$3:$G$9,1,TRUE),M384&lt;=VLOOKUP(M384,データ!$E$3:$G$9,2,TRUE)),VLOOKUP(M384,データ!$E$3:$G$9,3,TRUE),"")</f>
        <v/>
      </c>
      <c r="P384" s="63" t="str">
        <f>IF(AND(M384&gt;=VLOOKUP(M384,データ!$E$14:$G$21,1,TRUE),M384&lt;=VLOOKUP(M384,データ!$E$14:$G$21,2,TRUE)),VLOOKUP(M384,データ!$E$14:$G$21,3,TRUE),"")</f>
        <v>テーマ展</v>
      </c>
      <c r="Q384" s="44" t="str">
        <f t="shared" si="361"/>
        <v>○</v>
      </c>
      <c r="R384" s="8"/>
      <c r="S384" s="33" t="str">
        <f t="shared" si="362"/>
        <v/>
      </c>
      <c r="T384" s="8"/>
      <c r="U384" s="33" t="str">
        <f t="shared" si="363"/>
        <v>●</v>
      </c>
      <c r="V384" s="8"/>
      <c r="W384" s="33" t="str">
        <f t="shared" si="364"/>
        <v/>
      </c>
      <c r="X384" s="8"/>
      <c r="Y384" s="33" t="str">
        <f t="shared" si="365"/>
        <v>○</v>
      </c>
      <c r="Z384" s="32">
        <f>IF(L384="閉","",(IF(AND(M384&gt;=VLOOKUP(M384,データ!$E$3:$G$9,1,TRUE),M384&lt;=VLOOKUP(M384,データ!$E$3:$G$9,2,TRUE)),VLOOKUP(M384,データ!$E$3:$H$9,4,TRUE),0)+IF(AND(M384&gt;=VLOOKUP(M384,データ!$E$14:$G$21,1,TRUE),M384&lt;=VLOOKUP(M384,データ!$E$14:$G$21,2,TRUE)),VLOOKUP(M384,データ!$E$14:$H$21,4,TRUE),0)))</f>
        <v>1</v>
      </c>
      <c r="AA384" s="33" t="str">
        <f t="shared" si="366"/>
        <v>△</v>
      </c>
      <c r="AB384" s="227">
        <f t="shared" si="367"/>
        <v>0.41666666666666669</v>
      </c>
      <c r="AC384" s="227">
        <f t="shared" si="368"/>
        <v>0.70833333333333337</v>
      </c>
      <c r="AD384" s="228" t="str">
        <f>IF(K384=1,IF(ISERROR(VLOOKUP(M384,データ!$A$3:$C$23,2,FALSE)),"",VLOOKUP(M384,データ!$A$3:$C$23,2,FALSE)),(IF(ISERROR(VLOOKUP(M384,データ!$A$3:$C$23,2,FALSE)),"",VLOOKUP(M384,データ!$A$3:$C$23,2,FALSE))))</f>
        <v/>
      </c>
    </row>
    <row r="385" spans="1:30">
      <c r="A385" s="1">
        <f>IF(AND(M385&gt;=VLOOKUP(M385,データ!$K$3:$O$6,1,TRUE),M385&lt;=VLOOKUP(M385,データ!$K$3:$O$6,2,TRUE)),VLOOKUP(M385,データ!$K$3:$O$6,5,TRUE),"")</f>
        <v>1</v>
      </c>
      <c r="B385" s="74">
        <f>IF(AND(M385&gt;=VLOOKUP(M385,データ!$K$3:$O$6,1,TRUE),M385&lt;=VLOOKUP(M385,データ!$K$3:$O$6,2,TRUE)),VLOOKUP(M385,データ!$K$3:$O$6,3,TRUE),"")</f>
        <v>0.41666666666666669</v>
      </c>
      <c r="C385" s="1">
        <f>IF(AND(M385&gt;=VLOOKUP(M385,データ!$K$11:$O$16,1,TRUE),M385&lt;=VLOOKUP(M385,データ!$K$11:$O$16,2,TRUE)),VLOOKUP(M385,データ!$K$11:$O$16,5,TRUE),0)</f>
        <v>0</v>
      </c>
      <c r="D385" s="74" t="str">
        <f>IF(AND(M385&gt;=VLOOKUP(M385,データ!$K$11:$O$16,1,TRUE),M385&lt;=VLOOKUP(M385,データ!$K$11:$O$16,2,TRUE)),VLOOKUP(M385,データ!$K$11:$O$16,3,TRUE),"")</f>
        <v/>
      </c>
      <c r="E385" s="74">
        <f t="shared" si="358"/>
        <v>0.41666666666666669</v>
      </c>
      <c r="F385" s="75">
        <f>VLOOKUP(E385,データ!$K$20:$O$24,5,FALSE)</f>
        <v>0</v>
      </c>
      <c r="G385" s="74">
        <f>IF(AND(M385&gt;=VLOOKUP(M385,データ!$K$3:$O$6,1,TRUE),M385&lt;=VLOOKUP(M385,データ!$K$3:$O$6,2,TRUE)),VLOOKUP(M385,データ!$K$3:$O$6,4,TRUE),"")</f>
        <v>0.70833333333333337</v>
      </c>
      <c r="H385" s="256">
        <f>INDEX(データ!L$21:N$24,MATCH(配置表!E385,データ!K$21:K$24,0),MATCH(配置表!G385,データ!L$20:N$20,0))</f>
        <v>1</v>
      </c>
      <c r="I385" s="52" t="str">
        <f>IF(ISERROR(VLOOKUP(M385,データ!$A$3:$C$20,3,FALSE)),"",VLOOKUP(M385,データ!$A$3:$C$20,3,FALSE))</f>
        <v/>
      </c>
      <c r="J385" s="52" t="str">
        <f t="shared" si="359"/>
        <v/>
      </c>
      <c r="K385" s="53">
        <f t="shared" si="370"/>
        <v>0</v>
      </c>
      <c r="L385" s="28" t="str">
        <f t="shared" si="360"/>
        <v/>
      </c>
      <c r="M385" s="9">
        <f t="shared" si="371"/>
        <v>46099</v>
      </c>
      <c r="N385" s="10" t="str">
        <f t="shared" si="369"/>
        <v>水</v>
      </c>
      <c r="O385" s="63" t="str">
        <f>IF(AND(M385&gt;=VLOOKUP(M385,データ!$E$3:$G$9,1,TRUE),M385&lt;=VLOOKUP(M385,データ!$E$3:$G$9,2,TRUE)),VLOOKUP(M385,データ!$E$3:$G$9,3,TRUE),"")</f>
        <v/>
      </c>
      <c r="P385" s="63" t="str">
        <f>IF(AND(M385&gt;=VLOOKUP(M385,データ!$E$14:$G$21,1,TRUE),M385&lt;=VLOOKUP(M385,データ!$E$14:$G$21,2,TRUE)),VLOOKUP(M385,データ!$E$14:$G$21,3,TRUE),"")</f>
        <v>テーマ展</v>
      </c>
      <c r="Q385" s="44" t="str">
        <f t="shared" si="361"/>
        <v>○</v>
      </c>
      <c r="R385" s="10"/>
      <c r="S385" s="10" t="str">
        <f t="shared" si="362"/>
        <v/>
      </c>
      <c r="T385" s="45"/>
      <c r="U385" s="10" t="str">
        <f t="shared" si="363"/>
        <v>●</v>
      </c>
      <c r="V385" s="32"/>
      <c r="W385" s="33" t="str">
        <f t="shared" si="364"/>
        <v/>
      </c>
      <c r="X385" s="8"/>
      <c r="Y385" s="33" t="str">
        <f t="shared" si="365"/>
        <v>○</v>
      </c>
      <c r="Z385" s="8">
        <f>IF(L385="閉","",(IF(AND(M385&gt;=VLOOKUP(M385,データ!$E$3:$G$9,1,TRUE),M385&lt;=VLOOKUP(M385,データ!$E$3:$G$9,2,TRUE)),VLOOKUP(M385,データ!$E$3:$H$9,4,TRUE),0)+IF(AND(M385&gt;=VLOOKUP(M385,データ!$E$14:$G$21,1,TRUE),M385&lt;=VLOOKUP(M385,データ!$E$14:$G$21,2,TRUE)),VLOOKUP(M385,データ!$E$14:$H$21,4,TRUE),0)))</f>
        <v>1</v>
      </c>
      <c r="AA385" s="33" t="str">
        <f t="shared" si="366"/>
        <v>△</v>
      </c>
      <c r="AB385" s="227">
        <f t="shared" si="367"/>
        <v>0.41666666666666669</v>
      </c>
      <c r="AC385" s="227">
        <f t="shared" si="368"/>
        <v>0.70833333333333337</v>
      </c>
      <c r="AD385" s="228" t="str">
        <f>IF(K385=1,IF(ISERROR(VLOOKUP(M385,データ!$A$3:$C$23,2,FALSE)),"",VLOOKUP(M385,データ!$A$3:$C$23,2,FALSE)),(IF(ISERROR(VLOOKUP(M385,データ!$A$3:$C$23,2,FALSE)),"",VLOOKUP(M385,データ!$A$3:$C$23,2,FALSE))))</f>
        <v/>
      </c>
    </row>
    <row r="386" spans="1:30">
      <c r="A386" s="1">
        <f>IF(AND(M386&gt;=VLOOKUP(M386,データ!$K$3:$O$6,1,TRUE),M386&lt;=VLOOKUP(M386,データ!$K$3:$O$6,2,TRUE)),VLOOKUP(M386,データ!$K$3:$O$6,5,TRUE),"")</f>
        <v>1</v>
      </c>
      <c r="B386" s="74">
        <f>IF(AND(M386&gt;=VLOOKUP(M386,データ!$K$3:$O$6,1,TRUE),M386&lt;=VLOOKUP(M386,データ!$K$3:$O$6,2,TRUE)),VLOOKUP(M386,データ!$K$3:$O$6,3,TRUE),"")</f>
        <v>0.41666666666666669</v>
      </c>
      <c r="C386" s="1">
        <f>IF(AND(M386&gt;=VLOOKUP(M386,データ!$K$11:$O$16,1,TRUE),M386&lt;=VLOOKUP(M386,データ!$K$11:$O$16,2,TRUE)),VLOOKUP(M386,データ!$K$11:$O$16,5,TRUE),0)</f>
        <v>0</v>
      </c>
      <c r="D386" s="74" t="str">
        <f>IF(AND(M386&gt;=VLOOKUP(M386,データ!$K$11:$O$16,1,TRUE),M386&lt;=VLOOKUP(M386,データ!$K$11:$O$16,2,TRUE)),VLOOKUP(M386,データ!$K$11:$O$16,3,TRUE),"")</f>
        <v/>
      </c>
      <c r="E386" s="74">
        <f t="shared" si="358"/>
        <v>0.41666666666666669</v>
      </c>
      <c r="F386" s="75">
        <f>VLOOKUP(E386,データ!$K$20:$O$24,5,FALSE)</f>
        <v>0</v>
      </c>
      <c r="G386" s="74">
        <f>IF(AND(M386&gt;=VLOOKUP(M386,データ!$K$3:$O$6,1,TRUE),M386&lt;=VLOOKUP(M386,データ!$K$3:$O$6,2,TRUE)),VLOOKUP(M386,データ!$K$3:$O$6,4,TRUE),"")</f>
        <v>0.70833333333333337</v>
      </c>
      <c r="H386" s="256">
        <f>INDEX(データ!L$21:N$24,MATCH(配置表!E386,データ!K$21:K$24,0),MATCH(配置表!G386,データ!L$20:N$20,0))</f>
        <v>1</v>
      </c>
      <c r="I386" s="52" t="str">
        <f>IF(ISERROR(VLOOKUP(M386,データ!$A$3:$C$20,3,FALSE)),"",VLOOKUP(M386,データ!$A$3:$C$20,3,FALSE))</f>
        <v/>
      </c>
      <c r="J386" s="52" t="str">
        <f t="shared" si="359"/>
        <v/>
      </c>
      <c r="K386" s="53">
        <f t="shared" si="370"/>
        <v>0</v>
      </c>
      <c r="L386" s="28" t="str">
        <f t="shared" si="360"/>
        <v/>
      </c>
      <c r="M386" s="9">
        <f t="shared" si="371"/>
        <v>46100</v>
      </c>
      <c r="N386" s="10" t="str">
        <f t="shared" si="369"/>
        <v>木</v>
      </c>
      <c r="O386" s="63" t="str">
        <f>IF(AND(M386&gt;=VLOOKUP(M386,データ!$E$3:$G$9,1,TRUE),M386&lt;=VLOOKUP(M386,データ!$E$3:$G$9,2,TRUE)),VLOOKUP(M386,データ!$E$3:$G$9,3,TRUE),"")</f>
        <v/>
      </c>
      <c r="P386" s="63" t="str">
        <f>IF(AND(M386&gt;=VLOOKUP(M386,データ!$E$14:$G$21,1,TRUE),M386&lt;=VLOOKUP(M386,データ!$E$14:$G$21,2,TRUE)),VLOOKUP(M386,データ!$E$14:$G$21,3,TRUE),"")</f>
        <v>テーマ展</v>
      </c>
      <c r="Q386" s="44" t="str">
        <f t="shared" si="361"/>
        <v>○</v>
      </c>
      <c r="R386" s="10"/>
      <c r="S386" s="10" t="str">
        <f t="shared" si="362"/>
        <v/>
      </c>
      <c r="T386" s="45"/>
      <c r="U386" s="10" t="str">
        <f t="shared" si="363"/>
        <v>●</v>
      </c>
      <c r="V386" s="32"/>
      <c r="W386" s="33" t="str">
        <f t="shared" si="364"/>
        <v/>
      </c>
      <c r="X386" s="8"/>
      <c r="Y386" s="33" t="str">
        <f t="shared" si="365"/>
        <v>○</v>
      </c>
      <c r="Z386" s="8">
        <f>IF(L386="閉","",(IF(AND(M386&gt;=VLOOKUP(M386,データ!$E$3:$G$9,1,TRUE),M386&lt;=VLOOKUP(M386,データ!$E$3:$G$9,2,TRUE)),VLOOKUP(M386,データ!$E$3:$H$9,4,TRUE),0)+IF(AND(M386&gt;=VLOOKUP(M386,データ!$E$14:$G$21,1,TRUE),M386&lt;=VLOOKUP(M386,データ!$E$14:$G$21,2,TRUE)),VLOOKUP(M386,データ!$E$14:$H$21,4,TRUE),0)))</f>
        <v>1</v>
      </c>
      <c r="AA386" s="33" t="str">
        <f t="shared" si="366"/>
        <v>△</v>
      </c>
      <c r="AB386" s="227">
        <f t="shared" si="367"/>
        <v>0.41666666666666669</v>
      </c>
      <c r="AC386" s="227">
        <f t="shared" si="368"/>
        <v>0.70833333333333337</v>
      </c>
      <c r="AD386" s="228" t="str">
        <f>IF(K386=1,IF(ISERROR(VLOOKUP(M386,データ!$A$3:$C$23,2,FALSE)),"",VLOOKUP(M386,データ!$A$3:$C$23,2,FALSE)),(IF(ISERROR(VLOOKUP(M386,データ!$A$3:$C$23,2,FALSE)),"",VLOOKUP(M386,データ!$A$3:$C$23,2,FALSE))))</f>
        <v/>
      </c>
    </row>
    <row r="387" spans="1:30">
      <c r="A387" s="1">
        <f>IF(AND(M387&gt;=VLOOKUP(M387,データ!$K$3:$O$6,1,TRUE),M387&lt;=VLOOKUP(M387,データ!$K$3:$O$6,2,TRUE)),VLOOKUP(M387,データ!$K$3:$O$6,5,TRUE),"")</f>
        <v>1</v>
      </c>
      <c r="B387" s="74">
        <f>IF(AND(M387&gt;=VLOOKUP(M387,データ!$K$3:$O$6,1,TRUE),M387&lt;=VLOOKUP(M387,データ!$K$3:$O$6,2,TRUE)),VLOOKUP(M387,データ!$K$3:$O$6,3,TRUE),"")</f>
        <v>0.41666666666666669</v>
      </c>
      <c r="C387" s="1">
        <f>IF(AND(M387&gt;=VLOOKUP(M387,データ!$K$11:$O$16,1,TRUE),M387&lt;=VLOOKUP(M387,データ!$K$11:$O$16,2,TRUE)),VLOOKUP(M387,データ!$K$11:$O$16,5,TRUE),0)</f>
        <v>0</v>
      </c>
      <c r="D387" s="74" t="str">
        <f>IF(AND(M387&gt;=VLOOKUP(M387,データ!$K$11:$O$16,1,TRUE),M387&lt;=VLOOKUP(M387,データ!$K$11:$O$16,2,TRUE)),VLOOKUP(M387,データ!$K$11:$O$16,3,TRUE),"")</f>
        <v/>
      </c>
      <c r="E387" s="74">
        <f t="shared" si="358"/>
        <v>0.41666666666666669</v>
      </c>
      <c r="F387" s="75">
        <f>VLOOKUP(E387,データ!$K$20:$O$24,5,FALSE)</f>
        <v>0</v>
      </c>
      <c r="G387" s="74">
        <f>IF(AND(M387&gt;=VLOOKUP(M387,データ!$K$3:$O$6,1,TRUE),M387&lt;=VLOOKUP(M387,データ!$K$3:$O$6,2,TRUE)),VLOOKUP(M387,データ!$K$3:$O$6,4,TRUE),"")</f>
        <v>0.70833333333333337</v>
      </c>
      <c r="H387" s="256">
        <f>INDEX(データ!L$21:N$24,MATCH(配置表!E387,データ!K$21:K$24,0),MATCH(配置表!G387,データ!L$20:N$20,0))</f>
        <v>1</v>
      </c>
      <c r="I387" s="52">
        <f>IF(ISERROR(VLOOKUP(M387,データ!$A$3:$C$20,3,FALSE)),"",VLOOKUP(M387,データ!$A$3:$C$20,3,FALSE))</f>
        <v>1</v>
      </c>
      <c r="J387" s="52" t="str">
        <f t="shared" si="359"/>
        <v/>
      </c>
      <c r="K387" s="53">
        <f t="shared" si="370"/>
        <v>0</v>
      </c>
      <c r="L387" s="28" t="str">
        <f t="shared" si="360"/>
        <v/>
      </c>
      <c r="M387" s="9">
        <f t="shared" si="371"/>
        <v>46101</v>
      </c>
      <c r="N387" s="10" t="str">
        <f t="shared" si="369"/>
        <v>金</v>
      </c>
      <c r="O387" s="63" t="str">
        <f>IF(AND(M387&gt;=VLOOKUP(M387,データ!$E$3:$G$9,1,TRUE),M387&lt;=VLOOKUP(M387,データ!$E$3:$G$9,2,TRUE)),VLOOKUP(M387,データ!$E$3:$G$9,3,TRUE),"")</f>
        <v/>
      </c>
      <c r="P387" s="63" t="str">
        <f>IF(AND(M387&gt;=VLOOKUP(M387,データ!$E$14:$G$21,1,TRUE),M387&lt;=VLOOKUP(M387,データ!$E$14:$G$21,2,TRUE)),VLOOKUP(M387,データ!$E$14:$G$21,3,TRUE),"")</f>
        <v>テーマ展</v>
      </c>
      <c r="Q387" s="44" t="str">
        <f t="shared" si="361"/>
        <v>○</v>
      </c>
      <c r="R387" s="10"/>
      <c r="S387" s="10" t="str">
        <f t="shared" si="362"/>
        <v/>
      </c>
      <c r="T387" s="45"/>
      <c r="U387" s="10" t="str">
        <f t="shared" si="363"/>
        <v>●</v>
      </c>
      <c r="V387" s="32"/>
      <c r="W387" s="33" t="str">
        <f t="shared" si="364"/>
        <v/>
      </c>
      <c r="X387" s="8"/>
      <c r="Y387" s="33" t="str">
        <f t="shared" si="365"/>
        <v>○</v>
      </c>
      <c r="Z387" s="8">
        <f>IF(L387="閉","",(IF(AND(M387&gt;=VLOOKUP(M387,データ!$E$3:$G$9,1,TRUE),M387&lt;=VLOOKUP(M387,データ!$E$3:$G$9,2,TRUE)),VLOOKUP(M387,データ!$E$3:$H$9,4,TRUE),0)+IF(AND(M387&gt;=VLOOKUP(M387,データ!$E$14:$G$21,1,TRUE),M387&lt;=VLOOKUP(M387,データ!$E$14:$G$21,2,TRUE)),VLOOKUP(M387,データ!$E$14:$H$21,4,TRUE),0)))</f>
        <v>1</v>
      </c>
      <c r="AA387" s="33" t="str">
        <f t="shared" si="366"/>
        <v>△</v>
      </c>
      <c r="AB387" s="227">
        <f t="shared" si="367"/>
        <v>0.41666666666666669</v>
      </c>
      <c r="AC387" s="227">
        <f t="shared" si="368"/>
        <v>0.70833333333333337</v>
      </c>
      <c r="AD387" s="228" t="str">
        <f>IF(K387=1,IF(ISERROR(VLOOKUP(M387,データ!$A$3:$C$23,2,FALSE)),"",VLOOKUP(M387,データ!$A$3:$C$23,2,FALSE)),(IF(ISERROR(VLOOKUP(M387,データ!$A$3:$C$23,2,FALSE)),"",VLOOKUP(M387,データ!$A$3:$C$23,2,FALSE))))</f>
        <v>春分の日</v>
      </c>
    </row>
    <row r="388" spans="1:30">
      <c r="A388" s="1">
        <f>IF(AND(M388&gt;=VLOOKUP(M388,データ!$K$3:$O$6,1,TRUE),M388&lt;=VLOOKUP(M388,データ!$K$3:$O$6,2,TRUE)),VLOOKUP(M388,データ!$K$3:$O$6,5,TRUE),"")</f>
        <v>1</v>
      </c>
      <c r="B388" s="74">
        <f>IF(AND(M388&gt;=VLOOKUP(M388,データ!$K$3:$O$6,1,TRUE),M388&lt;=VLOOKUP(M388,データ!$K$3:$O$6,2,TRUE)),VLOOKUP(M388,データ!$K$3:$O$6,3,TRUE),"")</f>
        <v>0.41666666666666669</v>
      </c>
      <c r="C388" s="1">
        <f>IF(AND(M388&gt;=VLOOKUP(M388,データ!$K$11:$O$16,1,TRUE),M388&lt;=VLOOKUP(M388,データ!$K$11:$O$16,2,TRUE)),VLOOKUP(M388,データ!$K$11:$O$16,5,TRUE),0)</f>
        <v>0</v>
      </c>
      <c r="D388" s="74" t="str">
        <f>IF(AND(M388&gt;=VLOOKUP(M388,データ!$K$11:$O$16,1,TRUE),M388&lt;=VLOOKUP(M388,データ!$K$11:$O$16,2,TRUE)),VLOOKUP(M388,データ!$K$11:$O$16,3,TRUE),"")</f>
        <v/>
      </c>
      <c r="E388" s="74">
        <f t="shared" si="358"/>
        <v>0.41666666666666669</v>
      </c>
      <c r="F388" s="75">
        <f>VLOOKUP(E388,データ!$K$20:$O$24,5,FALSE)</f>
        <v>0</v>
      </c>
      <c r="G388" s="74">
        <f>IF(AND(M388&gt;=VLOOKUP(M388,データ!$K$3:$O$6,1,TRUE),M388&lt;=VLOOKUP(M388,データ!$K$3:$O$6,2,TRUE)),VLOOKUP(M388,データ!$K$3:$O$6,4,TRUE),"")</f>
        <v>0.70833333333333337</v>
      </c>
      <c r="H388" s="256">
        <f>INDEX(データ!L$21:N$24,MATCH(配置表!E388,データ!K$21:K$24,0),MATCH(配置表!G388,データ!L$20:N$20,0))</f>
        <v>1</v>
      </c>
      <c r="I388" s="52" t="str">
        <f>IF(ISERROR(VLOOKUP(M388,データ!$A$3:$C$20,3,FALSE)),"",VLOOKUP(M388,データ!$A$3:$C$20,3,FALSE))</f>
        <v/>
      </c>
      <c r="J388" s="52" t="str">
        <f t="shared" si="359"/>
        <v/>
      </c>
      <c r="K388" s="53">
        <f t="shared" si="370"/>
        <v>0</v>
      </c>
      <c r="L388" s="28" t="str">
        <f t="shared" si="360"/>
        <v/>
      </c>
      <c r="M388" s="9">
        <f t="shared" si="371"/>
        <v>46102</v>
      </c>
      <c r="N388" s="10" t="str">
        <f t="shared" si="369"/>
        <v>土</v>
      </c>
      <c r="O388" s="63" t="str">
        <f>IF(AND(M388&gt;=VLOOKUP(M388,データ!$E$3:$G$9,1,TRUE),M388&lt;=VLOOKUP(M388,データ!$E$3:$G$9,2,TRUE)),VLOOKUP(M388,データ!$E$3:$G$9,3,TRUE),"")</f>
        <v>春　特別展</v>
      </c>
      <c r="P388" s="63" t="str">
        <f>IF(AND(M388&gt;=VLOOKUP(M388,データ!$E$14:$G$21,1,TRUE),M388&lt;=VLOOKUP(M388,データ!$E$14:$G$21,2,TRUE)),VLOOKUP(M388,データ!$E$14:$G$21,3,TRUE),"")</f>
        <v>テーマ展</v>
      </c>
      <c r="Q388" s="44" t="str">
        <f t="shared" si="361"/>
        <v>○</v>
      </c>
      <c r="R388" s="10"/>
      <c r="S388" s="10" t="str">
        <f t="shared" si="362"/>
        <v>○</v>
      </c>
      <c r="T388" s="45"/>
      <c r="U388" s="33" t="str">
        <f t="shared" ref="U388:U389" si="372">IF(L388="閉","休",IF(S388="","●","●"))</f>
        <v>●</v>
      </c>
      <c r="V388" s="32"/>
      <c r="W388" s="33" t="str">
        <f t="shared" ref="W388:W389" si="373">IF(L388="閉","休",IF(O388="","",IF(OR(N388="土",N388="日",I388=1),IF(OR(O388="ダミー　特別展",O388="ダミー　特別展"),"◎",IF(OR(O388="夏　特別展",O388="秋　特別展",O388="春　特別展"),"◎","")),"")))</f>
        <v>◎</v>
      </c>
      <c r="X388" s="8"/>
      <c r="Y388" s="33" t="str">
        <f t="shared" si="365"/>
        <v>○</v>
      </c>
      <c r="Z388" s="8">
        <f>IF(L388="閉","",(IF(AND(M388&gt;=VLOOKUP(M388,データ!$E$3:$G$9,1,TRUE),M388&lt;=VLOOKUP(M388,データ!$E$3:$G$9,2,TRUE)),VLOOKUP(M388,データ!$E$3:$H$9,4,TRUE),0)+IF(AND(M388&gt;=VLOOKUP(M388,データ!$E$14:$G$21,1,TRUE),M388&lt;=VLOOKUP(M388,データ!$E$14:$G$21,2,TRUE)),VLOOKUP(M388,データ!$E$14:$H$21,4,TRUE),0)))</f>
        <v>5</v>
      </c>
      <c r="AA388" s="33" t="str">
        <f t="shared" si="366"/>
        <v>○</v>
      </c>
      <c r="AB388" s="227">
        <f t="shared" si="367"/>
        <v>0.41666666666666669</v>
      </c>
      <c r="AC388" s="227">
        <f t="shared" si="368"/>
        <v>0.70833333333333337</v>
      </c>
      <c r="AD388" s="228" t="str">
        <f>IF(K388=1,IF(ISERROR(VLOOKUP(M388,データ!$A$3:$C$23,2,FALSE)),"",VLOOKUP(M388,データ!$A$3:$C$23,2,FALSE)),(IF(ISERROR(VLOOKUP(M388,データ!$A$3:$C$23,2,FALSE)),"",VLOOKUP(M388,データ!$A$3:$C$23,2,FALSE))))</f>
        <v/>
      </c>
    </row>
    <row r="389" spans="1:30">
      <c r="A389" s="1">
        <f>IF(AND(M389&gt;=VLOOKUP(M389,データ!$K$3:$O$6,1,TRUE),M389&lt;=VLOOKUP(M389,データ!$K$3:$O$6,2,TRUE)),VLOOKUP(M389,データ!$K$3:$O$6,5,TRUE),"")</f>
        <v>1</v>
      </c>
      <c r="B389" s="74">
        <f>IF(AND(M389&gt;=VLOOKUP(M389,データ!$K$3:$O$6,1,TRUE),M389&lt;=VLOOKUP(M389,データ!$K$3:$O$6,2,TRUE)),VLOOKUP(M389,データ!$K$3:$O$6,3,TRUE),"")</f>
        <v>0.41666666666666669</v>
      </c>
      <c r="C389" s="1">
        <f>IF(AND(M389&gt;=VLOOKUP(M389,データ!$K$11:$O$16,1,TRUE),M389&lt;=VLOOKUP(M389,データ!$K$11:$O$16,2,TRUE)),VLOOKUP(M389,データ!$K$11:$O$16,5,TRUE),0)</f>
        <v>0</v>
      </c>
      <c r="D389" s="74" t="str">
        <f>IF(AND(M389&gt;=VLOOKUP(M389,データ!$K$11:$O$16,1,TRUE),M389&lt;=VLOOKUP(M389,データ!$K$11:$O$16,2,TRUE)),VLOOKUP(M389,データ!$K$11:$O$16,3,TRUE),"")</f>
        <v/>
      </c>
      <c r="E389" s="74">
        <f t="shared" si="358"/>
        <v>0.41666666666666669</v>
      </c>
      <c r="F389" s="75">
        <f>VLOOKUP(E389,データ!$K$20:$O$24,5,FALSE)</f>
        <v>0</v>
      </c>
      <c r="G389" s="74">
        <f>IF(AND(M389&gt;=VLOOKUP(M389,データ!$K$3:$O$6,1,TRUE),M389&lt;=VLOOKUP(M389,データ!$K$3:$O$6,2,TRUE)),VLOOKUP(M389,データ!$K$3:$O$6,4,TRUE),"")</f>
        <v>0.70833333333333337</v>
      </c>
      <c r="H389" s="256">
        <f>INDEX(データ!L$21:N$24,MATCH(配置表!E389,データ!K$21:K$24,0),MATCH(配置表!G389,データ!L$20:N$20,0))</f>
        <v>1</v>
      </c>
      <c r="I389" s="52" t="str">
        <f>IF(ISERROR(VLOOKUP(M389,データ!$A$3:$C$20,3,FALSE)),"",VLOOKUP(M389,データ!$A$3:$C$20,3,FALSE))</f>
        <v/>
      </c>
      <c r="J389" s="52" t="str">
        <f t="shared" si="359"/>
        <v/>
      </c>
      <c r="K389" s="53">
        <f t="shared" si="370"/>
        <v>0</v>
      </c>
      <c r="L389" s="28" t="str">
        <f t="shared" si="360"/>
        <v/>
      </c>
      <c r="M389" s="9">
        <f t="shared" si="371"/>
        <v>46103</v>
      </c>
      <c r="N389" s="10" t="str">
        <f t="shared" si="369"/>
        <v>日</v>
      </c>
      <c r="O389" s="63" t="str">
        <f>IF(AND(M389&gt;=VLOOKUP(M389,データ!$E$3:$G$9,1,TRUE),M389&lt;=VLOOKUP(M389,データ!$E$3:$G$9,2,TRUE)),VLOOKUP(M389,データ!$E$3:$G$9,3,TRUE),"")</f>
        <v>春　特別展</v>
      </c>
      <c r="P389" s="63" t="str">
        <f>IF(AND(M389&gt;=VLOOKUP(M389,データ!$E$14:$G$21,1,TRUE),M389&lt;=VLOOKUP(M389,データ!$E$14:$G$21,2,TRUE)),VLOOKUP(M389,データ!$E$14:$G$21,3,TRUE),"")</f>
        <v>テーマ展</v>
      </c>
      <c r="Q389" s="44" t="str">
        <f t="shared" si="361"/>
        <v>○</v>
      </c>
      <c r="R389" s="10"/>
      <c r="S389" s="10" t="str">
        <f t="shared" si="362"/>
        <v>○</v>
      </c>
      <c r="T389" s="45"/>
      <c r="U389" s="33" t="str">
        <f t="shared" si="372"/>
        <v>●</v>
      </c>
      <c r="V389" s="32"/>
      <c r="W389" s="33" t="str">
        <f t="shared" si="373"/>
        <v>◎</v>
      </c>
      <c r="X389" s="8"/>
      <c r="Y389" s="33" t="str">
        <f t="shared" si="365"/>
        <v>○</v>
      </c>
      <c r="Z389" s="8">
        <f>IF(L389="閉","",(IF(AND(M389&gt;=VLOOKUP(M389,データ!$E$3:$G$9,1,TRUE),M389&lt;=VLOOKUP(M389,データ!$E$3:$G$9,2,TRUE)),VLOOKUP(M389,データ!$E$3:$H$9,4,TRUE),0)+IF(AND(M389&gt;=VLOOKUP(M389,データ!$E$14:$G$21,1,TRUE),M389&lt;=VLOOKUP(M389,データ!$E$14:$G$21,2,TRUE)),VLOOKUP(M389,データ!$E$14:$H$21,4,TRUE),0)))</f>
        <v>5</v>
      </c>
      <c r="AA389" s="33" t="str">
        <f t="shared" si="366"/>
        <v>○</v>
      </c>
      <c r="AB389" s="227">
        <f t="shared" si="367"/>
        <v>0.41666666666666669</v>
      </c>
      <c r="AC389" s="227">
        <f t="shared" si="368"/>
        <v>0.70833333333333337</v>
      </c>
      <c r="AD389" s="228" t="str">
        <f>IF(K389=1,IF(ISERROR(VLOOKUP(M389,データ!$A$3:$C$23,2,FALSE)),"",VLOOKUP(M389,データ!$A$3:$C$23,2,FALSE)),(IF(ISERROR(VLOOKUP(M389,データ!$A$3:$C$23,2,FALSE)),"",VLOOKUP(M389,データ!$A$3:$C$23,2,FALSE))))</f>
        <v/>
      </c>
    </row>
    <row r="390" spans="1:30">
      <c r="A390" s="1">
        <f>IF(AND(M390&gt;=VLOOKUP(M390,データ!$K$3:$O$6,1,TRUE),M390&lt;=VLOOKUP(M390,データ!$K$3:$O$6,2,TRUE)),VLOOKUP(M390,データ!$K$3:$O$6,5,TRUE),"")</f>
        <v>1</v>
      </c>
      <c r="B390" s="74">
        <f>IF(AND(M390&gt;=VLOOKUP(M390,データ!$K$3:$O$6,1,TRUE),M390&lt;=VLOOKUP(M390,データ!$K$3:$O$6,2,TRUE)),VLOOKUP(M390,データ!$K$3:$O$6,3,TRUE),"")</f>
        <v>0.41666666666666669</v>
      </c>
      <c r="C390" s="1">
        <f>IF(AND(M390&gt;=VLOOKUP(M390,データ!$K$11:$O$16,1,TRUE),M390&lt;=VLOOKUP(M390,データ!$K$11:$O$16,2,TRUE)),VLOOKUP(M390,データ!$K$11:$O$16,5,TRUE),0)</f>
        <v>0</v>
      </c>
      <c r="D390" s="74" t="str">
        <f>IF(AND(M390&gt;=VLOOKUP(M390,データ!$K$11:$O$16,1,TRUE),M390&lt;=VLOOKUP(M390,データ!$K$11:$O$16,2,TRUE)),VLOOKUP(M390,データ!$K$11:$O$16,3,TRUE),"")</f>
        <v/>
      </c>
      <c r="E390" s="74">
        <f t="shared" si="358"/>
        <v>0.41666666666666669</v>
      </c>
      <c r="F390" s="75">
        <f>VLOOKUP(E390,データ!$K$20:$O$24,5,FALSE)</f>
        <v>0</v>
      </c>
      <c r="G390" s="74">
        <f>IF(AND(M390&gt;=VLOOKUP(M390,データ!$K$3:$O$6,1,TRUE),M390&lt;=VLOOKUP(M390,データ!$K$3:$O$6,2,TRUE)),VLOOKUP(M390,データ!$K$3:$O$6,4,TRUE),"")</f>
        <v>0.70833333333333337</v>
      </c>
      <c r="H390" s="256">
        <f>INDEX(データ!L$21:N$24,MATCH(配置表!E390,データ!K$21:K$24,0),MATCH(配置表!G390,データ!L$20:N$20,0))</f>
        <v>1</v>
      </c>
      <c r="I390" s="52" t="str">
        <f>IF(ISERROR(VLOOKUP(M390,データ!$A$3:$C$20,3,FALSE)),"",VLOOKUP(M390,データ!$A$3:$C$20,3,FALSE))</f>
        <v/>
      </c>
      <c r="J390" s="52">
        <f t="shared" si="359"/>
        <v>1</v>
      </c>
      <c r="K390" s="53">
        <f t="shared" si="370"/>
        <v>1</v>
      </c>
      <c r="L390" s="28" t="str">
        <f t="shared" si="360"/>
        <v>閉</v>
      </c>
      <c r="M390" s="9">
        <f t="shared" si="371"/>
        <v>46104</v>
      </c>
      <c r="N390" s="10" t="str">
        <f t="shared" si="369"/>
        <v>月</v>
      </c>
      <c r="O390" s="63" t="str">
        <f>IF(AND(M390&gt;=VLOOKUP(M390,データ!$E$3:$G$9,1,TRUE),M390&lt;=VLOOKUP(M390,データ!$E$3:$G$9,2,TRUE)),VLOOKUP(M390,データ!$E$3:$G$9,3,TRUE),"")</f>
        <v>春　特別展</v>
      </c>
      <c r="P390" s="63" t="str">
        <f>IF(AND(M390&gt;=VLOOKUP(M390,データ!$E$14:$G$21,1,TRUE),M390&lt;=VLOOKUP(M390,データ!$E$14:$G$21,2,TRUE)),VLOOKUP(M390,データ!$E$14:$G$21,3,TRUE),"")</f>
        <v>テーマ展</v>
      </c>
      <c r="Q390" s="44" t="str">
        <f t="shared" si="361"/>
        <v>休</v>
      </c>
      <c r="R390" s="10"/>
      <c r="S390" s="10" t="str">
        <f t="shared" si="362"/>
        <v>休</v>
      </c>
      <c r="T390" s="45"/>
      <c r="U390" s="10" t="str">
        <f t="shared" si="363"/>
        <v>休</v>
      </c>
      <c r="V390" s="32"/>
      <c r="W390" s="33" t="str">
        <f t="shared" si="364"/>
        <v>休</v>
      </c>
      <c r="X390" s="8"/>
      <c r="Y390" s="33" t="str">
        <f t="shared" si="365"/>
        <v>休</v>
      </c>
      <c r="Z390" s="8" t="str">
        <f>IF(L390="閉","",(IF(AND(M390&gt;=VLOOKUP(M390,データ!$E$3:$G$9,1,TRUE),M390&lt;=VLOOKUP(M390,データ!$E$3:$G$9,2,TRUE)),VLOOKUP(M390,データ!$E$3:$H$9,4,TRUE),0)+IF(AND(M390&gt;=VLOOKUP(M390,データ!$E$14:$G$21,1,TRUE),M390&lt;=VLOOKUP(M390,データ!$E$14:$G$21,2,TRUE)),VLOOKUP(M390,データ!$E$14:$H$21,4,TRUE),0)))</f>
        <v/>
      </c>
      <c r="AA390" s="33" t="str">
        <f t="shared" si="366"/>
        <v>休</v>
      </c>
      <c r="AB390" s="227" t="str">
        <f t="shared" si="367"/>
        <v/>
      </c>
      <c r="AC390" s="227" t="str">
        <f t="shared" si="368"/>
        <v/>
      </c>
      <c r="AD390" s="228" t="str">
        <f>IF(K390=1,IF(ISERROR(VLOOKUP(M390,データ!$A$3:$C$23,2,FALSE)),"",VLOOKUP(M390,データ!$A$3:$C$23,2,FALSE)),(IF(ISERROR(VLOOKUP(M390,データ!$A$3:$C$23,2,FALSE)),"",VLOOKUP(M390,データ!$A$3:$C$23,2,FALSE))))</f>
        <v/>
      </c>
    </row>
    <row r="391" spans="1:30">
      <c r="A391" s="1">
        <f>IF(AND(M391&gt;=VLOOKUP(M391,データ!$K$3:$O$6,1,TRUE),M391&lt;=VLOOKUP(M391,データ!$K$3:$O$6,2,TRUE)),VLOOKUP(M391,データ!$K$3:$O$6,5,TRUE),"")</f>
        <v>1</v>
      </c>
      <c r="B391" s="74">
        <f>IF(AND(M391&gt;=VLOOKUP(M391,データ!$K$3:$O$6,1,TRUE),M391&lt;=VLOOKUP(M391,データ!$K$3:$O$6,2,TRUE)),VLOOKUP(M391,データ!$K$3:$O$6,3,TRUE),"")</f>
        <v>0.41666666666666669</v>
      </c>
      <c r="C391" s="1">
        <f>IF(AND(M391&gt;=VLOOKUP(M391,データ!$K$11:$O$16,1,TRUE),M391&lt;=VLOOKUP(M391,データ!$K$11:$O$16,2,TRUE)),VLOOKUP(M391,データ!$K$11:$O$16,5,TRUE),0)</f>
        <v>0</v>
      </c>
      <c r="D391" s="74" t="str">
        <f>IF(AND(M391&gt;=VLOOKUP(M391,データ!$K$11:$O$16,1,TRUE),M391&lt;=VLOOKUP(M391,データ!$K$11:$O$16,2,TRUE)),VLOOKUP(M391,データ!$K$11:$O$16,3,TRUE),"")</f>
        <v/>
      </c>
      <c r="E391" s="74">
        <f t="shared" si="358"/>
        <v>0.41666666666666669</v>
      </c>
      <c r="F391" s="75">
        <f>VLOOKUP(E391,データ!$K$20:$O$24,5,FALSE)</f>
        <v>0</v>
      </c>
      <c r="G391" s="74">
        <f>IF(AND(M391&gt;=VLOOKUP(M391,データ!$K$3:$O$6,1,TRUE),M391&lt;=VLOOKUP(M391,データ!$K$3:$O$6,2,TRUE)),VLOOKUP(M391,データ!$K$3:$O$6,4,TRUE),"")</f>
        <v>0.70833333333333337</v>
      </c>
      <c r="H391" s="256">
        <f>INDEX(データ!L$21:N$24,MATCH(配置表!E391,データ!K$21:K$24,0),MATCH(配置表!G391,データ!L$20:N$20,0))</f>
        <v>1</v>
      </c>
      <c r="I391" s="52" t="str">
        <f>IF(ISERROR(VLOOKUP(M391,データ!$A$3:$C$20,3,FALSE)),"",VLOOKUP(M391,データ!$A$3:$C$20,3,FALSE))</f>
        <v/>
      </c>
      <c r="J391" s="52" t="str">
        <f t="shared" si="359"/>
        <v/>
      </c>
      <c r="K391" s="53">
        <f t="shared" si="370"/>
        <v>0</v>
      </c>
      <c r="L391" s="28" t="str">
        <f t="shared" si="360"/>
        <v/>
      </c>
      <c r="M391" s="9">
        <f t="shared" si="371"/>
        <v>46105</v>
      </c>
      <c r="N391" s="10" t="str">
        <f t="shared" si="369"/>
        <v>火</v>
      </c>
      <c r="O391" s="63" t="str">
        <f>IF(AND(M391&gt;=VLOOKUP(M391,データ!$E$3:$G$9,1,TRUE),M391&lt;=VLOOKUP(M391,データ!$E$3:$G$9,2,TRUE)),VLOOKUP(M391,データ!$E$3:$G$9,3,TRUE),"")</f>
        <v>春　特別展</v>
      </c>
      <c r="P391" s="63" t="str">
        <f>IF(AND(M391&gt;=VLOOKUP(M391,データ!$E$14:$G$21,1,TRUE),M391&lt;=VLOOKUP(M391,データ!$E$14:$G$21,2,TRUE)),VLOOKUP(M391,データ!$E$14:$G$21,3,TRUE),"")</f>
        <v>テーマ展</v>
      </c>
      <c r="Q391" s="44" t="str">
        <f t="shared" si="361"/>
        <v>○</v>
      </c>
      <c r="R391" s="8"/>
      <c r="S391" s="33" t="str">
        <f t="shared" ref="S391:S394" si="374">IF(H391="閉","休",IF(K391="","",IF(OR(J391="土",J391="日",E391=1),IF(OR(K391="ダミー　特別展",K391="ダミー　特別展"),"◎",IF(OR(K391="夏　特別展",K391="秋　特別展",K391="春　特別展"),"○","")),"")))</f>
        <v/>
      </c>
      <c r="T391" s="45"/>
      <c r="U391" s="33" t="str">
        <f t="shared" si="363"/>
        <v>●</v>
      </c>
      <c r="V391" s="32"/>
      <c r="W391" s="33" t="str">
        <f t="shared" ref="W391:W394" si="375">IF(P391="閉","休",IF(O391="","",IF(O391="冬　特別展",IF(OR(N391="土",N391="日",M391=1),"○",""),"○")))</f>
        <v>○</v>
      </c>
      <c r="X391" s="8"/>
      <c r="Y391" s="33" t="str">
        <f t="shared" si="365"/>
        <v>○</v>
      </c>
      <c r="Z391" s="8">
        <f>IF(L391="閉","",(IF(AND(M391&gt;=VLOOKUP(M391,データ!$E$3:$G$9,1,TRUE),M391&lt;=VLOOKUP(M391,データ!$E$3:$G$9,2,TRUE)),VLOOKUP(M391,データ!$E$3:$H$9,4,TRUE),0)+IF(AND(M391&gt;=VLOOKUP(M391,データ!$E$14:$G$21,1,TRUE),M391&lt;=VLOOKUP(M391,データ!$E$14:$G$21,2,TRUE)),VLOOKUP(M391,データ!$E$14:$H$21,4,TRUE),0)))</f>
        <v>5</v>
      </c>
      <c r="AA391" s="33" t="str">
        <f t="shared" si="366"/>
        <v>○</v>
      </c>
      <c r="AB391" s="227">
        <f t="shared" si="367"/>
        <v>0.41666666666666669</v>
      </c>
      <c r="AC391" s="227">
        <f t="shared" si="368"/>
        <v>0.70833333333333337</v>
      </c>
      <c r="AD391" s="228" t="str">
        <f>IF(K391=1,IF(ISERROR(VLOOKUP(M391,データ!$A$3:$C$23,2,FALSE)),"",VLOOKUP(M391,データ!$A$3:$C$23,2,FALSE)),(IF(ISERROR(VLOOKUP(M391,データ!$A$3:$C$23,2,FALSE)),"",VLOOKUP(M391,データ!$A$3:$C$23,2,FALSE))))</f>
        <v/>
      </c>
    </row>
    <row r="392" spans="1:30">
      <c r="A392" s="1">
        <f>IF(AND(M392&gt;=VLOOKUP(M392,データ!$K$3:$O$6,1,TRUE),M392&lt;=VLOOKUP(M392,データ!$K$3:$O$6,2,TRUE)),VLOOKUP(M392,データ!$K$3:$O$6,5,TRUE),"")</f>
        <v>1</v>
      </c>
      <c r="B392" s="74">
        <f>IF(AND(M392&gt;=VLOOKUP(M392,データ!$K$3:$O$6,1,TRUE),M392&lt;=VLOOKUP(M392,データ!$K$3:$O$6,2,TRUE)),VLOOKUP(M392,データ!$K$3:$O$6,3,TRUE),"")</f>
        <v>0.41666666666666669</v>
      </c>
      <c r="C392" s="1">
        <f>IF(AND(M392&gt;=VLOOKUP(M392,データ!$K$11:$O$16,1,TRUE),M392&lt;=VLOOKUP(M392,データ!$K$11:$O$16,2,TRUE)),VLOOKUP(M392,データ!$K$11:$O$16,5,TRUE),0)</f>
        <v>0</v>
      </c>
      <c r="D392" s="74" t="str">
        <f>IF(AND(M392&gt;=VLOOKUP(M392,データ!$K$11:$O$16,1,TRUE),M392&lt;=VLOOKUP(M392,データ!$K$11:$O$16,2,TRUE)),VLOOKUP(M392,データ!$K$11:$O$16,3,TRUE),"")</f>
        <v/>
      </c>
      <c r="E392" s="74">
        <f t="shared" si="358"/>
        <v>0.41666666666666669</v>
      </c>
      <c r="F392" s="75">
        <f>VLOOKUP(E392,データ!$K$20:$O$24,5,FALSE)</f>
        <v>0</v>
      </c>
      <c r="G392" s="74">
        <f>IF(AND(M392&gt;=VLOOKUP(M392,データ!$K$3:$O$6,1,TRUE),M392&lt;=VLOOKUP(M392,データ!$K$3:$O$6,2,TRUE)),VLOOKUP(M392,データ!$K$3:$O$6,4,TRUE),"")</f>
        <v>0.70833333333333337</v>
      </c>
      <c r="H392" s="256">
        <f>INDEX(データ!L$21:N$24,MATCH(配置表!E392,データ!K$21:K$24,0),MATCH(配置表!G392,データ!L$20:N$20,0))</f>
        <v>1</v>
      </c>
      <c r="I392" s="52" t="str">
        <f>IF(ISERROR(VLOOKUP(M392,データ!$A$3:$C$20,3,FALSE)),"",VLOOKUP(M392,データ!$A$3:$C$20,3,FALSE))</f>
        <v/>
      </c>
      <c r="J392" s="52" t="str">
        <f t="shared" si="359"/>
        <v/>
      </c>
      <c r="K392" s="53">
        <f t="shared" si="370"/>
        <v>0</v>
      </c>
      <c r="L392" s="28" t="str">
        <f t="shared" si="360"/>
        <v/>
      </c>
      <c r="M392" s="9">
        <f t="shared" si="371"/>
        <v>46106</v>
      </c>
      <c r="N392" s="10" t="str">
        <f t="shared" si="369"/>
        <v>水</v>
      </c>
      <c r="O392" s="63" t="str">
        <f>IF(AND(M392&gt;=VLOOKUP(M392,データ!$E$3:$G$9,1,TRUE),M392&lt;=VLOOKUP(M392,データ!$E$3:$G$9,2,TRUE)),VLOOKUP(M392,データ!$E$3:$G$9,3,TRUE),"")</f>
        <v>春　特別展</v>
      </c>
      <c r="P392" s="63" t="str">
        <f>IF(AND(M392&gt;=VLOOKUP(M392,データ!$E$14:$G$21,1,TRUE),M392&lt;=VLOOKUP(M392,データ!$E$14:$G$21,2,TRUE)),VLOOKUP(M392,データ!$E$14:$G$21,3,TRUE),"")</f>
        <v>テーマ展</v>
      </c>
      <c r="Q392" s="44" t="str">
        <f t="shared" si="361"/>
        <v>○</v>
      </c>
      <c r="R392" s="10"/>
      <c r="S392" s="33" t="str">
        <f t="shared" si="374"/>
        <v/>
      </c>
      <c r="T392" s="45"/>
      <c r="U392" s="33" t="str">
        <f t="shared" si="363"/>
        <v>●</v>
      </c>
      <c r="V392" s="32"/>
      <c r="W392" s="33" t="str">
        <f t="shared" si="375"/>
        <v>○</v>
      </c>
      <c r="X392" s="8"/>
      <c r="Y392" s="33" t="str">
        <f t="shared" si="365"/>
        <v>○</v>
      </c>
      <c r="Z392" s="8">
        <f>IF(L392="閉","",(IF(AND(M392&gt;=VLOOKUP(M392,データ!$E$3:$G$9,1,TRUE),M392&lt;=VLOOKUP(M392,データ!$E$3:$G$9,2,TRUE)),VLOOKUP(M392,データ!$E$3:$H$9,4,TRUE),0)+IF(AND(M392&gt;=VLOOKUP(M392,データ!$E$14:$G$21,1,TRUE),M392&lt;=VLOOKUP(M392,データ!$E$14:$G$21,2,TRUE)),VLOOKUP(M392,データ!$E$14:$H$21,4,TRUE),0)))</f>
        <v>5</v>
      </c>
      <c r="AA392" s="33" t="str">
        <f t="shared" si="366"/>
        <v>○</v>
      </c>
      <c r="AB392" s="227">
        <f t="shared" si="367"/>
        <v>0.41666666666666669</v>
      </c>
      <c r="AC392" s="227">
        <f t="shared" si="368"/>
        <v>0.70833333333333337</v>
      </c>
      <c r="AD392" s="228" t="str">
        <f>IF(K392=1,IF(ISERROR(VLOOKUP(M392,データ!$A$3:$C$23,2,FALSE)),"",VLOOKUP(M392,データ!$A$3:$C$23,2,FALSE)),(IF(ISERROR(VLOOKUP(M392,データ!$A$3:$C$23,2,FALSE)),"",VLOOKUP(M392,データ!$A$3:$C$23,2,FALSE))))</f>
        <v/>
      </c>
    </row>
    <row r="393" spans="1:30">
      <c r="A393" s="1">
        <f>IF(AND(M393&gt;=VLOOKUP(M393,データ!$K$3:$O$6,1,TRUE),M393&lt;=VLOOKUP(M393,データ!$K$3:$O$6,2,TRUE)),VLOOKUP(M393,データ!$K$3:$O$6,5,TRUE),"")</f>
        <v>1</v>
      </c>
      <c r="B393" s="74">
        <f>IF(AND(M393&gt;=VLOOKUP(M393,データ!$K$3:$O$6,1,TRUE),M393&lt;=VLOOKUP(M393,データ!$K$3:$O$6,2,TRUE)),VLOOKUP(M393,データ!$K$3:$O$6,3,TRUE),"")</f>
        <v>0.41666666666666669</v>
      </c>
      <c r="C393" s="1">
        <f>IF(AND(M393&gt;=VLOOKUP(M393,データ!$K$11:$O$16,1,TRUE),M393&lt;=VLOOKUP(M393,データ!$K$11:$O$16,2,TRUE)),VLOOKUP(M393,データ!$K$11:$O$16,5,TRUE),0)</f>
        <v>0</v>
      </c>
      <c r="D393" s="74" t="str">
        <f>IF(AND(M393&gt;=VLOOKUP(M393,データ!$K$11:$O$16,1,TRUE),M393&lt;=VLOOKUP(M393,データ!$K$11:$O$16,2,TRUE)),VLOOKUP(M393,データ!$K$11:$O$16,3,TRUE),"")</f>
        <v/>
      </c>
      <c r="E393" s="74">
        <f t="shared" si="358"/>
        <v>0.41666666666666669</v>
      </c>
      <c r="F393" s="75">
        <f>VLOOKUP(E393,データ!$K$20:$O$24,5,FALSE)</f>
        <v>0</v>
      </c>
      <c r="G393" s="74">
        <f>IF(AND(M393&gt;=VLOOKUP(M393,データ!$K$3:$O$6,1,TRUE),M393&lt;=VLOOKUP(M393,データ!$K$3:$O$6,2,TRUE)),VLOOKUP(M393,データ!$K$3:$O$6,4,TRUE),"")</f>
        <v>0.70833333333333337</v>
      </c>
      <c r="H393" s="256">
        <f>INDEX(データ!L$21:N$24,MATCH(配置表!E393,データ!K$21:K$24,0),MATCH(配置表!G393,データ!L$20:N$20,0))</f>
        <v>1</v>
      </c>
      <c r="I393" s="52" t="str">
        <f>IF(ISERROR(VLOOKUP(M393,データ!$A$3:$C$20,3,FALSE)),"",VLOOKUP(M393,データ!$A$3:$C$20,3,FALSE))</f>
        <v/>
      </c>
      <c r="J393" s="52" t="str">
        <f t="shared" si="359"/>
        <v/>
      </c>
      <c r="K393" s="53">
        <f t="shared" si="370"/>
        <v>0</v>
      </c>
      <c r="L393" s="28" t="str">
        <f t="shared" si="360"/>
        <v/>
      </c>
      <c r="M393" s="9">
        <f t="shared" si="371"/>
        <v>46107</v>
      </c>
      <c r="N393" s="10" t="str">
        <f t="shared" si="369"/>
        <v>木</v>
      </c>
      <c r="O393" s="63" t="str">
        <f>IF(AND(M393&gt;=VLOOKUP(M393,データ!$E$3:$G$9,1,TRUE),M393&lt;=VLOOKUP(M393,データ!$E$3:$G$9,2,TRUE)),VLOOKUP(M393,データ!$E$3:$G$9,3,TRUE),"")</f>
        <v>春　特別展</v>
      </c>
      <c r="P393" s="63" t="str">
        <f>IF(AND(M393&gt;=VLOOKUP(M393,データ!$E$14:$G$21,1,TRUE),M393&lt;=VLOOKUP(M393,データ!$E$14:$G$21,2,TRUE)),VLOOKUP(M393,データ!$E$14:$G$21,3,TRUE),"")</f>
        <v>テーマ展</v>
      </c>
      <c r="Q393" s="44" t="str">
        <f t="shared" si="361"/>
        <v>○</v>
      </c>
      <c r="R393" s="10"/>
      <c r="S393" s="33" t="str">
        <f t="shared" si="374"/>
        <v/>
      </c>
      <c r="T393" s="45"/>
      <c r="U393" s="33" t="str">
        <f t="shared" si="363"/>
        <v>●</v>
      </c>
      <c r="V393" s="32"/>
      <c r="W393" s="33" t="str">
        <f t="shared" si="375"/>
        <v>○</v>
      </c>
      <c r="X393" s="8"/>
      <c r="Y393" s="33" t="str">
        <f t="shared" si="365"/>
        <v>○</v>
      </c>
      <c r="Z393" s="8">
        <f>IF(L393="閉","",(IF(AND(M393&gt;=VLOOKUP(M393,データ!$E$3:$G$9,1,TRUE),M393&lt;=VLOOKUP(M393,データ!$E$3:$G$9,2,TRUE)),VLOOKUP(M393,データ!$E$3:$H$9,4,TRUE),0)+IF(AND(M393&gt;=VLOOKUP(M393,データ!$E$14:$G$21,1,TRUE),M393&lt;=VLOOKUP(M393,データ!$E$14:$G$21,2,TRUE)),VLOOKUP(M393,データ!$E$14:$H$21,4,TRUE),0)))</f>
        <v>5</v>
      </c>
      <c r="AA393" s="33" t="str">
        <f t="shared" si="366"/>
        <v>○</v>
      </c>
      <c r="AB393" s="227">
        <f t="shared" si="367"/>
        <v>0.41666666666666669</v>
      </c>
      <c r="AC393" s="227">
        <f t="shared" si="368"/>
        <v>0.70833333333333337</v>
      </c>
      <c r="AD393" s="228" t="str">
        <f>IF(K393=1,IF(ISERROR(VLOOKUP(M393,データ!$A$3:$C$23,2,FALSE)),"",VLOOKUP(M393,データ!$A$3:$C$23,2,FALSE)),(IF(ISERROR(VLOOKUP(M393,データ!$A$3:$C$23,2,FALSE)),"",VLOOKUP(M393,データ!$A$3:$C$23,2,FALSE))))</f>
        <v/>
      </c>
    </row>
    <row r="394" spans="1:30">
      <c r="A394" s="1">
        <f>IF(AND(M394&gt;=VLOOKUP(M394,データ!$K$3:$O$6,1,TRUE),M394&lt;=VLOOKUP(M394,データ!$K$3:$O$6,2,TRUE)),VLOOKUP(M394,データ!$K$3:$O$6,5,TRUE),"")</f>
        <v>1</v>
      </c>
      <c r="B394" s="74">
        <f>IF(AND(M394&gt;=VLOOKUP(M394,データ!$K$3:$O$6,1,TRUE),M394&lt;=VLOOKUP(M394,データ!$K$3:$O$6,2,TRUE)),VLOOKUP(M394,データ!$K$3:$O$6,3,TRUE),"")</f>
        <v>0.41666666666666669</v>
      </c>
      <c r="C394" s="1">
        <f>IF(AND(M394&gt;=VLOOKUP(M394,データ!$K$11:$O$16,1,TRUE),M394&lt;=VLOOKUP(M394,データ!$K$11:$O$16,2,TRUE)),VLOOKUP(M394,データ!$K$11:$O$16,5,TRUE),0)</f>
        <v>0</v>
      </c>
      <c r="D394" s="74" t="str">
        <f>IF(AND(M394&gt;=VLOOKUP(M394,データ!$K$11:$O$16,1,TRUE),M394&lt;=VLOOKUP(M394,データ!$K$11:$O$16,2,TRUE)),VLOOKUP(M394,データ!$K$11:$O$16,3,TRUE),"")</f>
        <v/>
      </c>
      <c r="E394" s="74">
        <f t="shared" si="358"/>
        <v>0.41666666666666669</v>
      </c>
      <c r="F394" s="75">
        <f>VLOOKUP(E394,データ!$K$20:$O$24,5,FALSE)</f>
        <v>0</v>
      </c>
      <c r="G394" s="74">
        <f>IF(AND(M394&gt;=VLOOKUP(M394,データ!$K$3:$O$6,1,TRUE),M394&lt;=VLOOKUP(M394,データ!$K$3:$O$6,2,TRUE)),VLOOKUP(M394,データ!$K$3:$O$6,4,TRUE),"")</f>
        <v>0.70833333333333337</v>
      </c>
      <c r="H394" s="256">
        <f>INDEX(データ!L$21:N$24,MATCH(配置表!E394,データ!K$21:K$24,0),MATCH(配置表!G394,データ!L$20:N$20,0))</f>
        <v>1</v>
      </c>
      <c r="I394" s="52" t="str">
        <f>IF(ISERROR(VLOOKUP(M394,データ!$A$3:$C$20,3,FALSE)),"",VLOOKUP(M394,データ!$A$3:$C$20,3,FALSE))</f>
        <v/>
      </c>
      <c r="J394" s="52" t="str">
        <f t="shared" si="359"/>
        <v/>
      </c>
      <c r="K394" s="53">
        <f t="shared" si="370"/>
        <v>0</v>
      </c>
      <c r="L394" s="28" t="str">
        <f t="shared" si="360"/>
        <v/>
      </c>
      <c r="M394" s="9">
        <f t="shared" si="371"/>
        <v>46108</v>
      </c>
      <c r="N394" s="10" t="str">
        <f t="shared" si="369"/>
        <v>金</v>
      </c>
      <c r="O394" s="63" t="str">
        <f>IF(AND(M394&gt;=VLOOKUP(M394,データ!$E$3:$G$9,1,TRUE),M394&lt;=VLOOKUP(M394,データ!$E$3:$G$9,2,TRUE)),VLOOKUP(M394,データ!$E$3:$G$9,3,TRUE),"")</f>
        <v>春　特別展</v>
      </c>
      <c r="P394" s="63" t="str">
        <f>IF(AND(M394&gt;=VLOOKUP(M394,データ!$E$14:$G$21,1,TRUE),M394&lt;=VLOOKUP(M394,データ!$E$14:$G$21,2,TRUE)),VLOOKUP(M394,データ!$E$14:$G$21,3,TRUE),"")</f>
        <v>テーマ展</v>
      </c>
      <c r="Q394" s="44" t="str">
        <f t="shared" si="361"/>
        <v>○</v>
      </c>
      <c r="R394" s="10"/>
      <c r="S394" s="33" t="str">
        <f t="shared" si="374"/>
        <v/>
      </c>
      <c r="T394" s="45"/>
      <c r="U394" s="33" t="str">
        <f t="shared" si="363"/>
        <v>●</v>
      </c>
      <c r="V394" s="32"/>
      <c r="W394" s="33" t="str">
        <f t="shared" si="375"/>
        <v>○</v>
      </c>
      <c r="X394" s="8"/>
      <c r="Y394" s="33" t="str">
        <f t="shared" si="365"/>
        <v>○</v>
      </c>
      <c r="Z394" s="8">
        <f>IF(L394="閉","",(IF(AND(M394&gt;=VLOOKUP(M394,データ!$E$3:$G$9,1,TRUE),M394&lt;=VLOOKUP(M394,データ!$E$3:$G$9,2,TRUE)),VLOOKUP(M394,データ!$E$3:$H$9,4,TRUE),0)+IF(AND(M394&gt;=VLOOKUP(M394,データ!$E$14:$G$21,1,TRUE),M394&lt;=VLOOKUP(M394,データ!$E$14:$G$21,2,TRUE)),VLOOKUP(M394,データ!$E$14:$H$21,4,TRUE),0)))</f>
        <v>5</v>
      </c>
      <c r="AA394" s="33" t="str">
        <f t="shared" si="366"/>
        <v>○</v>
      </c>
      <c r="AB394" s="227">
        <f t="shared" si="367"/>
        <v>0.41666666666666669</v>
      </c>
      <c r="AC394" s="227">
        <f t="shared" si="368"/>
        <v>0.70833333333333337</v>
      </c>
      <c r="AD394" s="228" t="str">
        <f>IF(K394=1,IF(ISERROR(VLOOKUP(M394,データ!$A$3:$C$23,2,FALSE)),"",VLOOKUP(M394,データ!$A$3:$C$23,2,FALSE)),(IF(ISERROR(VLOOKUP(M394,データ!$A$3:$C$23,2,FALSE)),"",VLOOKUP(M394,データ!$A$3:$C$23,2,FALSE))))</f>
        <v/>
      </c>
    </row>
    <row r="395" spans="1:30">
      <c r="A395" s="1">
        <f>IF(AND(M395&gt;=VLOOKUP(M395,データ!$K$3:$O$6,1,TRUE),M395&lt;=VLOOKUP(M395,データ!$K$3:$O$6,2,TRUE)),VLOOKUP(M395,データ!$K$3:$O$6,5,TRUE),"")</f>
        <v>1</v>
      </c>
      <c r="B395" s="74">
        <f>IF(AND(M395&gt;=VLOOKUP(M395,データ!$K$3:$O$6,1,TRUE),M395&lt;=VLOOKUP(M395,データ!$K$3:$O$6,2,TRUE)),VLOOKUP(M395,データ!$K$3:$O$6,3,TRUE),"")</f>
        <v>0.41666666666666669</v>
      </c>
      <c r="C395" s="1">
        <f>IF(AND(M395&gt;=VLOOKUP(M395,データ!$K$11:$O$16,1,TRUE),M395&lt;=VLOOKUP(M395,データ!$K$11:$O$16,2,TRUE)),VLOOKUP(M395,データ!$K$11:$O$16,5,TRUE),0)</f>
        <v>0</v>
      </c>
      <c r="D395" s="74" t="str">
        <f>IF(AND(M395&gt;=VLOOKUP(M395,データ!$K$11:$O$16,1,TRUE),M395&lt;=VLOOKUP(M395,データ!$K$11:$O$16,2,TRUE)),VLOOKUP(M395,データ!$K$11:$O$16,3,TRUE),"")</f>
        <v/>
      </c>
      <c r="E395" s="74">
        <f t="shared" si="358"/>
        <v>0.41666666666666669</v>
      </c>
      <c r="F395" s="75">
        <f>VLOOKUP(E395,データ!$K$20:$O$24,5,FALSE)</f>
        <v>0</v>
      </c>
      <c r="G395" s="74">
        <f>IF(AND(M395&gt;=VLOOKUP(M395,データ!$K$3:$O$6,1,TRUE),M395&lt;=VLOOKUP(M395,データ!$K$3:$O$6,2,TRUE)),VLOOKUP(M395,データ!$K$3:$O$6,4,TRUE),"")</f>
        <v>0.70833333333333337</v>
      </c>
      <c r="H395" s="256">
        <f>INDEX(データ!L$21:N$24,MATCH(配置表!E395,データ!K$21:K$24,0),MATCH(配置表!G395,データ!L$20:N$20,0))</f>
        <v>1</v>
      </c>
      <c r="I395" s="52" t="str">
        <f>IF(ISERROR(VLOOKUP(M395,データ!$A$3:$C$20,3,FALSE)),"",VLOOKUP(M395,データ!$A$3:$C$20,3,FALSE))</f>
        <v/>
      </c>
      <c r="J395" s="52" t="str">
        <f t="shared" si="359"/>
        <v/>
      </c>
      <c r="K395" s="53">
        <f t="shared" si="370"/>
        <v>0</v>
      </c>
      <c r="L395" s="28" t="str">
        <f t="shared" si="360"/>
        <v/>
      </c>
      <c r="M395" s="9">
        <f t="shared" si="371"/>
        <v>46109</v>
      </c>
      <c r="N395" s="10" t="str">
        <f t="shared" si="369"/>
        <v>土</v>
      </c>
      <c r="O395" s="63" t="str">
        <f>IF(AND(M395&gt;=VLOOKUP(M395,データ!$E$3:$G$9,1,TRUE),M395&lt;=VLOOKUP(M395,データ!$E$3:$G$9,2,TRUE)),VLOOKUP(M395,データ!$E$3:$G$9,3,TRUE),"")</f>
        <v>春　特別展</v>
      </c>
      <c r="P395" s="63" t="str">
        <f>IF(AND(M395&gt;=VLOOKUP(M395,データ!$E$14:$G$21,1,TRUE),M395&lt;=VLOOKUP(M395,データ!$E$14:$G$21,2,TRUE)),VLOOKUP(M395,データ!$E$14:$G$21,3,TRUE),"")</f>
        <v>テーマ展</v>
      </c>
      <c r="Q395" s="44" t="str">
        <f t="shared" si="361"/>
        <v>○</v>
      </c>
      <c r="R395" s="10"/>
      <c r="S395" s="10" t="str">
        <f t="shared" ref="S395:S396" si="376">IF(L395="閉","休",IF(O395="","",IF(O395="冬　特別展",IF(OR(N395="土",N395="日",I395=1),"○",""),"○")))</f>
        <v>○</v>
      </c>
      <c r="T395" s="45"/>
      <c r="U395" s="33" t="str">
        <f t="shared" si="363"/>
        <v>●</v>
      </c>
      <c r="V395" s="32"/>
      <c r="W395" s="33" t="str">
        <f t="shared" ref="W395:W396" si="377">IF(L395="閉","休",IF(O395="","",IF(OR(N395="土",N395="日",I395=1),IF(OR(O395="ダミー　特別展",O395="ダミー　特別展"),"◎",IF(OR(O395="夏　特別展",O395="秋　特別展",O395="春　特別展"),"◎","")),"")))</f>
        <v>◎</v>
      </c>
      <c r="X395" s="8"/>
      <c r="Y395" s="33" t="str">
        <f t="shared" si="365"/>
        <v>○</v>
      </c>
      <c r="Z395" s="8">
        <f>IF(L395="閉","",(IF(AND(M395&gt;=VLOOKUP(M395,データ!$E$3:$G$9,1,TRUE),M395&lt;=VLOOKUP(M395,データ!$E$3:$G$9,2,TRUE)),VLOOKUP(M395,データ!$E$3:$H$9,4,TRUE),0)+IF(AND(M395&gt;=VLOOKUP(M395,データ!$E$14:$G$21,1,TRUE),M395&lt;=VLOOKUP(M395,データ!$E$14:$G$21,2,TRUE)),VLOOKUP(M395,データ!$E$14:$H$21,4,TRUE),0)))</f>
        <v>5</v>
      </c>
      <c r="AA395" s="33" t="str">
        <f t="shared" si="366"/>
        <v>○</v>
      </c>
      <c r="AB395" s="227">
        <f t="shared" si="367"/>
        <v>0.41666666666666669</v>
      </c>
      <c r="AC395" s="227">
        <f t="shared" si="368"/>
        <v>0.70833333333333337</v>
      </c>
      <c r="AD395" s="228" t="str">
        <f>IF(K395=1,IF(ISERROR(VLOOKUP(M395,データ!$A$3:$C$23,2,FALSE)),"",VLOOKUP(M395,データ!$A$3:$C$23,2,FALSE)),(IF(ISERROR(VLOOKUP(M395,データ!$A$3:$C$23,2,FALSE)),"",VLOOKUP(M395,データ!$A$3:$C$23,2,FALSE))))</f>
        <v/>
      </c>
    </row>
    <row r="396" spans="1:30">
      <c r="A396" s="1">
        <f>IF(AND(M396&gt;=VLOOKUP(M396,データ!$K$3:$O$6,1,TRUE),M396&lt;=VLOOKUP(M396,データ!$K$3:$O$6,2,TRUE)),VLOOKUP(M396,データ!$K$3:$O$6,5,TRUE),"")</f>
        <v>1</v>
      </c>
      <c r="B396" s="74">
        <f>IF(AND(M396&gt;=VLOOKUP(M396,データ!$K$3:$O$6,1,TRUE),M396&lt;=VLOOKUP(M396,データ!$K$3:$O$6,2,TRUE)),VLOOKUP(M396,データ!$K$3:$O$6,3,TRUE),"")</f>
        <v>0.41666666666666669</v>
      </c>
      <c r="C396" s="1">
        <f>IF(AND(M396&gt;=VLOOKUP(M396,データ!$K$11:$O$16,1,TRUE),M396&lt;=VLOOKUP(M396,データ!$K$11:$O$16,2,TRUE)),VLOOKUP(M396,データ!$K$11:$O$16,5,TRUE),0)</f>
        <v>0</v>
      </c>
      <c r="D396" s="74" t="str">
        <f>IF(AND(M396&gt;=VLOOKUP(M396,データ!$K$11:$O$16,1,TRUE),M396&lt;=VLOOKUP(M396,データ!$K$11:$O$16,2,TRUE)),VLOOKUP(M396,データ!$K$11:$O$16,3,TRUE),"")</f>
        <v/>
      </c>
      <c r="E396" s="74">
        <f t="shared" si="358"/>
        <v>0.41666666666666669</v>
      </c>
      <c r="F396" s="75">
        <f>VLOOKUP(E396,データ!$K$20:$O$24,5,FALSE)</f>
        <v>0</v>
      </c>
      <c r="G396" s="74">
        <f>IF(AND(M396&gt;=VLOOKUP(M396,データ!$K$3:$O$6,1,TRUE),M396&lt;=VLOOKUP(M396,データ!$K$3:$O$6,2,TRUE)),VLOOKUP(M396,データ!$K$3:$O$6,4,TRUE),"")</f>
        <v>0.70833333333333337</v>
      </c>
      <c r="H396" s="256">
        <f>INDEX(データ!L$21:N$24,MATCH(配置表!E396,データ!K$21:K$24,0),MATCH(配置表!G396,データ!L$20:N$20,0))</f>
        <v>1</v>
      </c>
      <c r="I396" s="52" t="str">
        <f>IF(ISERROR(VLOOKUP(M396,データ!$A$3:$C$20,3,FALSE)),"",VLOOKUP(M396,データ!$A$3:$C$20,3,FALSE))</f>
        <v/>
      </c>
      <c r="J396" s="52" t="str">
        <f t="shared" si="359"/>
        <v/>
      </c>
      <c r="K396" s="53">
        <f t="shared" si="370"/>
        <v>0</v>
      </c>
      <c r="L396" s="28" t="str">
        <f t="shared" si="360"/>
        <v/>
      </c>
      <c r="M396" s="9">
        <f t="shared" si="371"/>
        <v>46110</v>
      </c>
      <c r="N396" s="10" t="str">
        <f t="shared" si="369"/>
        <v>日</v>
      </c>
      <c r="O396" s="63" t="str">
        <f>IF(AND(M396&gt;=VLOOKUP(M396,データ!$E$3:$G$9,1,TRUE),M396&lt;=VLOOKUP(M396,データ!$E$3:$G$9,2,TRUE)),VLOOKUP(M396,データ!$E$3:$G$9,3,TRUE),"")</f>
        <v>春　特別展</v>
      </c>
      <c r="P396" s="63" t="str">
        <f>IF(AND(M396&gt;=VLOOKUP(M396,データ!$E$14:$G$21,1,TRUE),M396&lt;=VLOOKUP(M396,データ!$E$14:$G$21,2,TRUE)),VLOOKUP(M396,データ!$E$14:$G$21,3,TRUE),"")</f>
        <v>テーマ展</v>
      </c>
      <c r="Q396" s="44" t="str">
        <f t="shared" si="361"/>
        <v>○</v>
      </c>
      <c r="R396" s="10"/>
      <c r="S396" s="10" t="str">
        <f t="shared" si="376"/>
        <v>○</v>
      </c>
      <c r="T396" s="45"/>
      <c r="U396" s="33" t="str">
        <f t="shared" si="363"/>
        <v>●</v>
      </c>
      <c r="V396" s="32"/>
      <c r="W396" s="33" t="str">
        <f t="shared" si="377"/>
        <v>◎</v>
      </c>
      <c r="X396" s="8"/>
      <c r="Y396" s="33" t="str">
        <f t="shared" si="365"/>
        <v>○</v>
      </c>
      <c r="Z396" s="8">
        <f>IF(L396="閉","",(IF(AND(M396&gt;=VLOOKUP(M396,データ!$E$3:$G$9,1,TRUE),M396&lt;=VLOOKUP(M396,データ!$E$3:$G$9,2,TRUE)),VLOOKUP(M396,データ!$E$3:$H$9,4,TRUE),0)+IF(AND(M396&gt;=VLOOKUP(M396,データ!$E$14:$G$21,1,TRUE),M396&lt;=VLOOKUP(M396,データ!$E$14:$G$21,2,TRUE)),VLOOKUP(M396,データ!$E$14:$H$21,4,TRUE),0)))</f>
        <v>5</v>
      </c>
      <c r="AA396" s="33" t="str">
        <f t="shared" si="366"/>
        <v>○</v>
      </c>
      <c r="AB396" s="227">
        <f t="shared" si="367"/>
        <v>0.41666666666666669</v>
      </c>
      <c r="AC396" s="227">
        <f t="shared" si="368"/>
        <v>0.70833333333333337</v>
      </c>
      <c r="AD396" s="228" t="str">
        <f>IF(K396=1,IF(ISERROR(VLOOKUP(M396,データ!$A$3:$C$23,2,FALSE)),"",VLOOKUP(M396,データ!$A$3:$C$23,2,FALSE)),(IF(ISERROR(VLOOKUP(M396,データ!$A$3:$C$23,2,FALSE)),"",VLOOKUP(M396,データ!$A$3:$C$23,2,FALSE))))</f>
        <v/>
      </c>
    </row>
    <row r="397" spans="1:30">
      <c r="A397" s="1">
        <f>IF(AND(M397&gt;=VLOOKUP(M397,データ!$K$3:$O$6,1,TRUE),M397&lt;=VLOOKUP(M397,データ!$K$3:$O$6,2,TRUE)),VLOOKUP(M397,データ!$K$3:$O$6,5,TRUE),"")</f>
        <v>1</v>
      </c>
      <c r="B397" s="74">
        <f>IF(AND(M397&gt;=VLOOKUP(M397,データ!$K$3:$O$6,1,TRUE),M397&lt;=VLOOKUP(M397,データ!$K$3:$O$6,2,TRUE)),VLOOKUP(M397,データ!$K$3:$O$6,3,TRUE),"")</f>
        <v>0.41666666666666669</v>
      </c>
      <c r="C397" s="1">
        <f>IF(AND(M397&gt;=VLOOKUP(M397,データ!$K$11:$O$16,1,TRUE),M397&lt;=VLOOKUP(M397,データ!$K$11:$O$16,2,TRUE)),VLOOKUP(M397,データ!$K$11:$O$16,5,TRUE),0)</f>
        <v>0</v>
      </c>
      <c r="D397" s="74" t="str">
        <f>IF(AND(M397&gt;=VLOOKUP(M397,データ!$K$11:$O$16,1,TRUE),M397&lt;=VLOOKUP(M397,データ!$K$11:$O$16,2,TRUE)),VLOOKUP(M397,データ!$K$11:$O$16,3,TRUE),"")</f>
        <v/>
      </c>
      <c r="E397" s="74">
        <f t="shared" si="358"/>
        <v>0.41666666666666669</v>
      </c>
      <c r="F397" s="75">
        <f>VLOOKUP(E397,データ!$K$20:$O$24,5,FALSE)</f>
        <v>0</v>
      </c>
      <c r="G397" s="74">
        <f>IF(AND(M397&gt;=VLOOKUP(M397,データ!$K$3:$O$6,1,TRUE),M397&lt;=VLOOKUP(M397,データ!$K$3:$O$6,2,TRUE)),VLOOKUP(M397,データ!$K$3:$O$6,4,TRUE),"")</f>
        <v>0.70833333333333337</v>
      </c>
      <c r="H397" s="256">
        <f>INDEX(データ!L$21:N$24,MATCH(配置表!E397,データ!K$21:K$24,0),MATCH(配置表!G397,データ!L$20:N$20,0))</f>
        <v>1</v>
      </c>
      <c r="I397" s="52" t="str">
        <f>IF(ISERROR(VLOOKUP(M397,データ!$A$3:$C$20,3,FALSE)),"",VLOOKUP(M397,データ!$A$3:$C$20,3,FALSE))</f>
        <v/>
      </c>
      <c r="J397" s="52">
        <f t="shared" si="359"/>
        <v>1</v>
      </c>
      <c r="K397" s="53">
        <f t="shared" si="370"/>
        <v>1</v>
      </c>
      <c r="L397" s="28" t="str">
        <f t="shared" si="360"/>
        <v>閉</v>
      </c>
      <c r="M397" s="9">
        <f t="shared" si="371"/>
        <v>46111</v>
      </c>
      <c r="N397" s="10" t="str">
        <f t="shared" si="369"/>
        <v>月</v>
      </c>
      <c r="O397" s="63" t="str">
        <f>IF(AND(M397&gt;=VLOOKUP(M397,データ!$E$3:$G$9,1,TRUE),M397&lt;=VLOOKUP(M397,データ!$E$3:$G$9,2,TRUE)),VLOOKUP(M397,データ!$E$3:$G$9,3,TRUE),"")</f>
        <v>春　特別展</v>
      </c>
      <c r="P397" s="63" t="str">
        <f>IF(AND(M397&gt;=VLOOKUP(M397,データ!$E$14:$G$21,1,TRUE),M397&lt;=VLOOKUP(M397,データ!$E$14:$G$21,2,TRUE)),VLOOKUP(M397,データ!$E$14:$G$21,3,TRUE),"")</f>
        <v>テーマ展</v>
      </c>
      <c r="Q397" s="44" t="str">
        <f t="shared" si="361"/>
        <v>休</v>
      </c>
      <c r="R397" s="10"/>
      <c r="S397" s="10" t="str">
        <f t="shared" si="362"/>
        <v>休</v>
      </c>
      <c r="T397" s="45"/>
      <c r="U397" s="10" t="str">
        <f t="shared" si="363"/>
        <v>休</v>
      </c>
      <c r="V397" s="32"/>
      <c r="W397" s="33" t="str">
        <f t="shared" si="364"/>
        <v>休</v>
      </c>
      <c r="X397" s="8"/>
      <c r="Y397" s="33" t="str">
        <f t="shared" si="365"/>
        <v>休</v>
      </c>
      <c r="Z397" s="8" t="str">
        <f>IF(L397="閉","",(IF(AND(M397&gt;=VLOOKUP(M397,データ!$E$3:$G$9,1,TRUE),M397&lt;=VLOOKUP(M397,データ!$E$3:$G$9,2,TRUE)),VLOOKUP(M397,データ!$E$3:$H$9,4,TRUE),0)+IF(AND(M397&gt;=VLOOKUP(M397,データ!$E$14:$G$21,1,TRUE),M397&lt;=VLOOKUP(M397,データ!$E$14:$G$21,2,TRUE)),VLOOKUP(M397,データ!$E$14:$H$21,4,TRUE),0)))</f>
        <v/>
      </c>
      <c r="AA397" s="33" t="str">
        <f t="shared" si="366"/>
        <v>休</v>
      </c>
      <c r="AB397" s="227" t="str">
        <f t="shared" si="367"/>
        <v/>
      </c>
      <c r="AC397" s="227" t="str">
        <f t="shared" si="368"/>
        <v/>
      </c>
      <c r="AD397" s="228" t="str">
        <f>IF(K397=1,IF(ISERROR(VLOOKUP(M397,データ!$A$3:$C$23,2,FALSE)),"",VLOOKUP(M397,データ!$A$3:$C$23,2,FALSE)),(IF(ISERROR(VLOOKUP(M397,データ!$A$3:$C$23,2,FALSE)),"",VLOOKUP(M397,データ!$A$3:$C$23,2,FALSE))))</f>
        <v/>
      </c>
    </row>
    <row r="398" spans="1:30" ht="12" thickBot="1">
      <c r="A398" s="1">
        <f>IF(AND(M398&gt;=VLOOKUP(M398,データ!$K$3:$O$6,1,TRUE),M398&lt;=VLOOKUP(M398,データ!$K$3:$O$6,2,TRUE)),VLOOKUP(M398,データ!$K$3:$O$6,5,TRUE),"")</f>
        <v>1</v>
      </c>
      <c r="B398" s="74">
        <f>IF(AND(M398&gt;=VLOOKUP(M398,データ!$K$3:$O$6,1,TRUE),M398&lt;=VLOOKUP(M398,データ!$K$3:$O$6,2,TRUE)),VLOOKUP(M398,データ!$K$3:$O$6,3,TRUE),"")</f>
        <v>0.41666666666666669</v>
      </c>
      <c r="C398" s="1">
        <f>IF(AND(M398&gt;=VLOOKUP(M398,データ!$K$11:$O$16,1,TRUE),M398&lt;=VLOOKUP(M398,データ!$K$11:$O$16,2,TRUE)),VLOOKUP(M398,データ!$K$11:$O$16,5,TRUE),0)</f>
        <v>0</v>
      </c>
      <c r="D398" s="74" t="str">
        <f>IF(AND(M398&gt;=VLOOKUP(M398,データ!$K$11:$O$16,1,TRUE),M398&lt;=VLOOKUP(M398,データ!$K$11:$O$16,2,TRUE)),VLOOKUP(M398,データ!$K$11:$O$16,3,TRUE),"")</f>
        <v/>
      </c>
      <c r="E398" s="74">
        <f t="shared" si="358"/>
        <v>0.41666666666666669</v>
      </c>
      <c r="F398" s="75">
        <f>VLOOKUP(E398,データ!$K$20:$O$24,5,FALSE)</f>
        <v>0</v>
      </c>
      <c r="G398" s="74">
        <f>IF(AND(M398&gt;=VLOOKUP(M398,データ!$K$3:$O$6,1,TRUE),M398&lt;=VLOOKUP(M398,データ!$K$3:$O$6,2,TRUE)),VLOOKUP(M398,データ!$K$3:$O$6,4,TRUE),"")</f>
        <v>0.70833333333333337</v>
      </c>
      <c r="H398" s="256">
        <f>INDEX(データ!L$21:N$24,MATCH(配置表!E398,データ!K$21:K$24,0),MATCH(配置表!G398,データ!L$20:N$20,0))</f>
        <v>1</v>
      </c>
      <c r="I398" s="52" t="str">
        <f>IF(ISERROR(VLOOKUP(M398,データ!$A$3:$C$20,3,FALSE)),"",VLOOKUP(M398,データ!$A$3:$C$20,3,FALSE))</f>
        <v/>
      </c>
      <c r="J398" s="52" t="str">
        <f t="shared" si="359"/>
        <v/>
      </c>
      <c r="K398" s="53">
        <f t="shared" si="370"/>
        <v>0</v>
      </c>
      <c r="L398" s="28" t="str">
        <f t="shared" si="360"/>
        <v/>
      </c>
      <c r="M398" s="29">
        <f t="shared" si="371"/>
        <v>46112</v>
      </c>
      <c r="N398" s="22" t="str">
        <f t="shared" si="369"/>
        <v>火</v>
      </c>
      <c r="O398" s="65" t="str">
        <f>IF(AND(M398&gt;=VLOOKUP(M398,データ!$E$3:$G$9,1,TRUE),M398&lt;=VLOOKUP(M398,データ!$E$3:$G$9,2,TRUE)),VLOOKUP(M398,データ!$E$3:$G$9,3,TRUE),"")</f>
        <v>春　特別展</v>
      </c>
      <c r="P398" s="65" t="str">
        <f>IF(AND(M398&gt;=VLOOKUP(M398,データ!$E$14:$G$21,1,TRUE),M398&lt;=VLOOKUP(M398,データ!$E$14:$G$21,2,TRUE)),VLOOKUP(M398,データ!$E$14:$G$21,3,TRUE),"")</f>
        <v>テーマ展</v>
      </c>
      <c r="Q398" s="40" t="str">
        <f t="shared" si="361"/>
        <v>○</v>
      </c>
      <c r="R398" s="27"/>
      <c r="S398" s="34" t="str">
        <f t="shared" ref="S398" si="378">IF(H398="閉","休",IF(K398="","",IF(OR(J398="土",J398="日",E398=1),IF(OR(K398="ダミー　特別展",K398="ダミー　特別展"),"◎",IF(OR(K398="夏　特別展",K398="秋　特別展",K398="春　特別展"),"○","")),"")))</f>
        <v/>
      </c>
      <c r="T398" s="41"/>
      <c r="U398" s="34" t="str">
        <f t="shared" ref="U398" si="379">IF(L398="閉","休",IF(S398="","●","●"))</f>
        <v>●</v>
      </c>
      <c r="V398" s="23"/>
      <c r="W398" s="34" t="str">
        <f t="shared" ref="W398" si="380">IF(P398="閉","休",IF(O398="","",IF(O398="冬　特別展",IF(OR(N398="土",N398="日",M398=1),"○",""),"○")))</f>
        <v>○</v>
      </c>
      <c r="X398" s="27"/>
      <c r="Y398" s="34" t="str">
        <f t="shared" si="365"/>
        <v>○</v>
      </c>
      <c r="Z398" s="27">
        <f>IF(L398="閉","",(IF(AND(M398&gt;=VLOOKUP(M398,データ!$E$3:$G$9,1,TRUE),M398&lt;=VLOOKUP(M398,データ!$E$3:$G$9,2,TRUE)),VLOOKUP(M398,データ!$E$3:$H$9,4,TRUE),0)+IF(AND(M398&gt;=VLOOKUP(M398,データ!$E$14:$G$21,1,TRUE),M398&lt;=VLOOKUP(M398,データ!$E$14:$G$21,2,TRUE)),VLOOKUP(M398,データ!$E$14:$H$21,4,TRUE),0)))</f>
        <v>5</v>
      </c>
      <c r="AA398" s="34" t="str">
        <f t="shared" si="366"/>
        <v>○</v>
      </c>
      <c r="AB398" s="233">
        <f t="shared" si="367"/>
        <v>0.41666666666666669</v>
      </c>
      <c r="AC398" s="233">
        <f t="shared" si="368"/>
        <v>0.70833333333333337</v>
      </c>
      <c r="AD398" s="231" t="str">
        <f>IF(K398=1,IF(ISERROR(VLOOKUP(M398,データ!$A$3:$C$23,2,FALSE)),"",VLOOKUP(M398,データ!$A$3:$C$23,2,FALSE)),(IF(ISERROR(VLOOKUP(M398,データ!$A$3:$C$23,2,FALSE)),"",VLOOKUP(M398,データ!$A$3:$C$23,2,FALSE))))</f>
        <v/>
      </c>
    </row>
    <row r="399" spans="1:30" s="18" customFormat="1">
      <c r="M399" s="7"/>
      <c r="N399" s="10"/>
      <c r="O399" s="8"/>
      <c r="P399" s="8"/>
      <c r="Q399" s="10"/>
      <c r="R399" s="10"/>
      <c r="S399" s="8"/>
      <c r="T399" s="8"/>
      <c r="U399" s="8"/>
      <c r="V399" s="8"/>
      <c r="W399" s="10"/>
      <c r="X399" s="8"/>
      <c r="Y399" s="10"/>
      <c r="Z399" s="8">
        <f>SUM(Z368:Z398,Z337:Z364,Z304:Z334,Z271:Z301,Z238:Z268,Z205:Z235,Z172:Z202,Z139:Z169,Z106:Z136,Z73:Z103,Z40:Z70,Z7:Z37)</f>
        <v>1344</v>
      </c>
      <c r="AA399" s="10"/>
      <c r="AB399" s="8"/>
    </row>
    <row r="400" spans="1:30" s="18" customFormat="1" ht="4.1500000000000004" customHeight="1" thickBot="1">
      <c r="M400" s="7"/>
      <c r="N400" s="10"/>
      <c r="O400" s="8"/>
      <c r="P400" s="8"/>
      <c r="Q400" s="10"/>
      <c r="R400" s="10"/>
      <c r="S400" s="10"/>
      <c r="T400" s="10"/>
      <c r="U400" s="10"/>
      <c r="V400" s="8"/>
      <c r="W400" s="10"/>
      <c r="X400" s="8"/>
      <c r="Y400" s="10"/>
      <c r="Z400" s="8"/>
      <c r="AA400" s="10"/>
      <c r="AB400" s="8"/>
    </row>
    <row r="401" spans="13:28" s="18" customFormat="1">
      <c r="M401" s="7"/>
      <c r="N401" s="10"/>
      <c r="O401" s="8"/>
      <c r="P401" s="371" t="s">
        <v>12</v>
      </c>
      <c r="Q401" s="372"/>
      <c r="R401" s="374" t="s">
        <v>16</v>
      </c>
      <c r="S401" s="375"/>
      <c r="T401" s="374" t="s">
        <v>17</v>
      </c>
      <c r="U401" s="375"/>
      <c r="V401" s="374" t="s">
        <v>18</v>
      </c>
      <c r="W401" s="375"/>
      <c r="X401" s="374" t="s">
        <v>19</v>
      </c>
      <c r="Y401" s="375"/>
      <c r="Z401" s="371" t="s">
        <v>1</v>
      </c>
      <c r="AA401" s="373"/>
      <c r="AB401" s="372"/>
    </row>
    <row r="402" spans="13:28">
      <c r="M402" s="13"/>
      <c r="N402" s="4"/>
      <c r="O402" s="5"/>
      <c r="P402" s="84"/>
      <c r="Q402" s="85" t="s">
        <v>11</v>
      </c>
      <c r="R402" s="86"/>
      <c r="S402" s="85" t="s">
        <v>3</v>
      </c>
      <c r="T402" s="87"/>
      <c r="U402" s="85" t="s">
        <v>3</v>
      </c>
      <c r="V402" s="84"/>
      <c r="W402" s="85" t="s">
        <v>3</v>
      </c>
      <c r="X402" s="84"/>
      <c r="Y402" s="85" t="s">
        <v>3</v>
      </c>
      <c r="Z402" s="84"/>
      <c r="AA402" s="87" t="s">
        <v>3</v>
      </c>
      <c r="AB402" s="85" t="s">
        <v>4</v>
      </c>
    </row>
    <row r="403" spans="13:28">
      <c r="M403" s="13"/>
      <c r="N403" s="4"/>
      <c r="O403" s="5"/>
      <c r="P403" s="20"/>
      <c r="Q403" s="89"/>
      <c r="R403" s="20"/>
      <c r="S403" s="89"/>
      <c r="T403" s="20" t="s">
        <v>46</v>
      </c>
      <c r="U403" s="89">
        <f>COUNTIF(U7:U398,T403)</f>
        <v>300</v>
      </c>
      <c r="V403" s="20"/>
      <c r="W403" s="89"/>
      <c r="X403" s="20"/>
      <c r="Y403" s="89"/>
      <c r="Z403" s="20" t="s">
        <v>46</v>
      </c>
      <c r="AA403" s="88">
        <f>COUNTIF(AA7:AA398,Z403)</f>
        <v>0</v>
      </c>
      <c r="AB403" s="89">
        <f>SUMIF($AA$7:$AA$398,Z403,$Z$7:$Z$398)</f>
        <v>0</v>
      </c>
    </row>
    <row r="404" spans="13:28" ht="13.5">
      <c r="M404"/>
      <c r="P404" s="20" t="s">
        <v>7</v>
      </c>
      <c r="Q404" s="89">
        <f>COUNTIF($Q$7:$Q$398,P404)</f>
        <v>300</v>
      </c>
      <c r="R404" s="20" t="s">
        <v>7</v>
      </c>
      <c r="S404" s="89">
        <f>COUNTIF(S7:S398,R404)</f>
        <v>78</v>
      </c>
      <c r="T404" s="20"/>
      <c r="U404" s="89"/>
      <c r="V404" s="20" t="s">
        <v>7</v>
      </c>
      <c r="W404" s="89">
        <f>COUNTIF(W7:W398,V404)</f>
        <v>116</v>
      </c>
      <c r="X404" s="20" t="s">
        <v>7</v>
      </c>
      <c r="Y404" s="89">
        <f>COUNTIF(Y7:Y398,X404)</f>
        <v>300</v>
      </c>
      <c r="Z404" s="20" t="s">
        <v>7</v>
      </c>
      <c r="AA404" s="88">
        <f>COUNTIF(AA7:AA398,Z404)</f>
        <v>261</v>
      </c>
      <c r="AB404" s="90">
        <f>SUMIF($AA$7:$AA$398,Z404,$Z$7:$Z$398)</f>
        <v>1305</v>
      </c>
    </row>
    <row r="405" spans="13:28" ht="13.5">
      <c r="M405"/>
      <c r="P405" s="20"/>
      <c r="Q405" s="89"/>
      <c r="R405" s="20"/>
      <c r="S405" s="89"/>
      <c r="T405" s="13"/>
      <c r="U405" s="88"/>
      <c r="V405" s="20" t="s">
        <v>15</v>
      </c>
      <c r="W405" s="89">
        <f>COUNTIF(W7:W398,V405)</f>
        <v>105</v>
      </c>
      <c r="X405" s="20"/>
      <c r="Y405" s="89"/>
      <c r="Z405" s="20" t="s">
        <v>15</v>
      </c>
      <c r="AA405" s="88">
        <f>COUNTIF(AA7:AA398,Z405)</f>
        <v>0</v>
      </c>
      <c r="AB405" s="90">
        <f>SUMIF($AA$7:$AA$398,Z405,$Z$7:$Z$398)</f>
        <v>0</v>
      </c>
    </row>
    <row r="406" spans="13:28" ht="13.5">
      <c r="M406"/>
      <c r="P406" s="20"/>
      <c r="Q406" s="89"/>
      <c r="R406" s="20"/>
      <c r="S406" s="88"/>
      <c r="T406" s="20"/>
      <c r="U406" s="89"/>
      <c r="V406" s="20"/>
      <c r="W406" s="89"/>
      <c r="X406" s="20"/>
      <c r="Y406" s="89"/>
      <c r="Z406" s="13" t="s">
        <v>104</v>
      </c>
      <c r="AA406" s="88">
        <f>COUNTIF(AA7:AA398,Z406)+AA407</f>
        <v>39</v>
      </c>
      <c r="AB406" s="90">
        <f>SUMIF($AA$7:$AA$398,Z406,$Z$7:$Z$398)+AB407</f>
        <v>39</v>
      </c>
    </row>
    <row r="407" spans="13:28" ht="14.25" thickBot="1">
      <c r="M407"/>
      <c r="P407" s="20" t="s">
        <v>0</v>
      </c>
      <c r="Q407" s="89">
        <f>COUNTIF($Q$7:$Q$398,P407)</f>
        <v>65</v>
      </c>
      <c r="R407" s="20"/>
      <c r="S407" s="88"/>
      <c r="T407" s="20"/>
      <c r="U407" s="89"/>
      <c r="V407" s="4"/>
      <c r="W407" s="91"/>
      <c r="X407" s="20"/>
      <c r="Y407" s="89"/>
      <c r="Z407" s="13" t="s">
        <v>105</v>
      </c>
      <c r="AA407" s="88">
        <f>COUNTIF(AA7:AA398,Z407)</f>
        <v>0</v>
      </c>
      <c r="AB407" s="90">
        <f t="shared" ref="AB407" si="381">SUMIF($AA$7:$AA$398,Z407,$Z$7:$Z$398)</f>
        <v>0</v>
      </c>
    </row>
    <row r="408" spans="13:28" ht="12.75" thickTop="1" thickBot="1">
      <c r="P408" s="79" t="s">
        <v>47</v>
      </c>
      <c r="Q408" s="92">
        <f>SUM(Q403:Q407)</f>
        <v>365</v>
      </c>
      <c r="R408" s="96"/>
      <c r="S408" s="97">
        <f>SUM(S403:S407)</f>
        <v>78</v>
      </c>
      <c r="T408" s="98"/>
      <c r="U408" s="99">
        <f>SUM(U403:U407)</f>
        <v>300</v>
      </c>
      <c r="V408" s="97"/>
      <c r="W408" s="97">
        <f>SUM(W403:W407)</f>
        <v>221</v>
      </c>
      <c r="X408" s="98"/>
      <c r="Y408" s="99">
        <f>SUM(Y403:Y407)</f>
        <v>300</v>
      </c>
      <c r="Z408" s="97"/>
      <c r="AA408" s="97">
        <f>SUM(AA403:AA407)</f>
        <v>300</v>
      </c>
      <c r="AB408" s="99">
        <f>SUM(AB403:AB407)</f>
        <v>1344</v>
      </c>
    </row>
    <row r="409" spans="13:28" ht="5.45" customHeight="1" thickBot="1"/>
    <row r="410" spans="13:28">
      <c r="P410" s="371" t="s">
        <v>12</v>
      </c>
      <c r="Q410" s="372"/>
      <c r="R410" s="374" t="s">
        <v>16</v>
      </c>
      <c r="S410" s="375"/>
      <c r="T410" s="374" t="s">
        <v>17</v>
      </c>
      <c r="U410" s="375"/>
      <c r="V410" s="374" t="s">
        <v>18</v>
      </c>
      <c r="W410" s="375"/>
      <c r="X410" s="374" t="s">
        <v>19</v>
      </c>
      <c r="Y410" s="375"/>
      <c r="Z410" s="371" t="s">
        <v>1</v>
      </c>
      <c r="AA410" s="373"/>
      <c r="AB410" s="372"/>
    </row>
    <row r="411" spans="13:28">
      <c r="P411" s="84"/>
      <c r="Q411" s="107" t="s">
        <v>48</v>
      </c>
      <c r="R411" s="86"/>
      <c r="S411" s="107" t="s">
        <v>48</v>
      </c>
      <c r="T411" s="87"/>
      <c r="U411" s="107" t="s">
        <v>48</v>
      </c>
      <c r="V411" s="84"/>
      <c r="W411" s="107" t="s">
        <v>48</v>
      </c>
      <c r="X411" s="84"/>
      <c r="Y411" s="107" t="s">
        <v>48</v>
      </c>
      <c r="Z411" s="84"/>
      <c r="AA411" s="108" t="s">
        <v>48</v>
      </c>
      <c r="AB411" s="85"/>
    </row>
    <row r="412" spans="13:28">
      <c r="P412" s="20"/>
      <c r="Q412" s="93"/>
      <c r="R412" s="20" t="s">
        <v>133</v>
      </c>
      <c r="S412" s="93">
        <v>7</v>
      </c>
      <c r="T412" s="20" t="s">
        <v>46</v>
      </c>
      <c r="U412" s="339">
        <v>6.75</v>
      </c>
      <c r="V412" s="20"/>
      <c r="W412" s="93"/>
      <c r="X412" s="20"/>
      <c r="Y412" s="93"/>
      <c r="Z412" s="20"/>
      <c r="AA412" s="94"/>
      <c r="AB412" s="93"/>
    </row>
    <row r="413" spans="13:28">
      <c r="P413" s="20" t="s">
        <v>66</v>
      </c>
      <c r="Q413" s="93">
        <v>8.5</v>
      </c>
      <c r="R413" s="20" t="s">
        <v>66</v>
      </c>
      <c r="S413" s="339">
        <v>5.25</v>
      </c>
      <c r="T413" s="20"/>
      <c r="U413" s="93"/>
      <c r="V413" s="20" t="s">
        <v>66</v>
      </c>
      <c r="W413" s="339">
        <v>5.25</v>
      </c>
      <c r="X413" s="20" t="s">
        <v>66</v>
      </c>
      <c r="Y413" s="93">
        <v>7.5</v>
      </c>
      <c r="Z413" s="20" t="s">
        <v>66</v>
      </c>
      <c r="AA413" s="94">
        <v>7.5</v>
      </c>
      <c r="AB413" s="93"/>
    </row>
    <row r="414" spans="13:28">
      <c r="P414" s="20"/>
      <c r="Q414" s="93"/>
      <c r="R414" s="20" t="s">
        <v>67</v>
      </c>
      <c r="S414" s="93">
        <v>5.5</v>
      </c>
      <c r="T414" s="20"/>
      <c r="U414" s="93"/>
      <c r="V414" s="20" t="s">
        <v>67</v>
      </c>
      <c r="W414" s="93">
        <v>5</v>
      </c>
      <c r="X414" s="20"/>
      <c r="Y414" s="93"/>
      <c r="Z414" s="20" t="s">
        <v>67</v>
      </c>
      <c r="AA414" s="94"/>
      <c r="AB414" s="93"/>
    </row>
    <row r="415" spans="13:28">
      <c r="P415" s="20"/>
      <c r="Q415" s="93"/>
      <c r="R415" s="20"/>
      <c r="S415" s="93"/>
      <c r="T415" s="20"/>
      <c r="U415" s="93"/>
      <c r="V415" s="20"/>
      <c r="W415" s="93"/>
      <c r="X415" s="20"/>
      <c r="Y415" s="93"/>
      <c r="Z415" s="20" t="s">
        <v>94</v>
      </c>
      <c r="AA415" s="94">
        <v>7.5</v>
      </c>
      <c r="AB415" s="95"/>
    </row>
    <row r="416" spans="13:28" ht="12" thickBot="1">
      <c r="P416" s="6"/>
      <c r="Q416" s="112"/>
      <c r="R416" s="6"/>
      <c r="S416" s="112"/>
      <c r="T416" s="21"/>
      <c r="U416" s="113"/>
      <c r="V416" s="6"/>
      <c r="W416" s="112"/>
      <c r="X416" s="6"/>
      <c r="Y416" s="112"/>
      <c r="Z416" s="6" t="s">
        <v>92</v>
      </c>
      <c r="AA416" s="113">
        <v>3</v>
      </c>
      <c r="AB416" s="114"/>
    </row>
    <row r="417" spans="16:29" ht="4.9000000000000004" customHeight="1" thickBot="1"/>
    <row r="418" spans="16:29" ht="13.5">
      <c r="P418" s="371" t="s">
        <v>12</v>
      </c>
      <c r="Q418" s="372"/>
      <c r="R418" s="374" t="s">
        <v>16</v>
      </c>
      <c r="S418" s="375"/>
      <c r="T418" s="374" t="s">
        <v>17</v>
      </c>
      <c r="U418" s="375"/>
      <c r="V418" s="374" t="s">
        <v>18</v>
      </c>
      <c r="W418" s="375"/>
      <c r="X418" s="374" t="s">
        <v>19</v>
      </c>
      <c r="Y418" s="375"/>
      <c r="Z418" s="376" t="s">
        <v>1</v>
      </c>
      <c r="AA418" s="377"/>
      <c r="AB418" s="377"/>
      <c r="AC418" s="378"/>
    </row>
    <row r="419" spans="16:29" ht="13.5">
      <c r="P419" s="84"/>
      <c r="Q419" s="107" t="s">
        <v>49</v>
      </c>
      <c r="R419" s="86"/>
      <c r="S419" s="107" t="s">
        <v>49</v>
      </c>
      <c r="T419" s="87"/>
      <c r="U419" s="107" t="s">
        <v>49</v>
      </c>
      <c r="V419" s="84"/>
      <c r="W419" s="107" t="s">
        <v>49</v>
      </c>
      <c r="X419" s="84"/>
      <c r="Y419" s="107" t="s">
        <v>49</v>
      </c>
      <c r="Z419" s="84"/>
      <c r="AA419" s="262" t="s">
        <v>49</v>
      </c>
      <c r="AB419" s="346" t="s">
        <v>124</v>
      </c>
      <c r="AC419" s="347"/>
    </row>
    <row r="420" spans="16:29" ht="13.5">
      <c r="P420" s="20"/>
      <c r="Q420" s="100"/>
      <c r="R420" s="20"/>
      <c r="S420" s="102"/>
      <c r="T420" s="20" t="s">
        <v>46</v>
      </c>
      <c r="U420" s="102">
        <f>U403*U412</f>
        <v>2025</v>
      </c>
      <c r="V420" s="20"/>
      <c r="W420" s="102"/>
      <c r="X420" s="20"/>
      <c r="Y420" s="102"/>
      <c r="Z420" s="20"/>
      <c r="AA420" s="263"/>
      <c r="AB420" s="348"/>
      <c r="AC420" s="343"/>
    </row>
    <row r="421" spans="16:29" ht="13.5">
      <c r="P421" s="20" t="s">
        <v>7</v>
      </c>
      <c r="Q421" s="100">
        <f>Q404*Q413</f>
        <v>2550</v>
      </c>
      <c r="R421" s="20" t="s">
        <v>7</v>
      </c>
      <c r="S421" s="102">
        <f>S404*S413</f>
        <v>409.5</v>
      </c>
      <c r="T421" s="20" t="s">
        <v>7</v>
      </c>
      <c r="U421" s="102">
        <f>U404*U413</f>
        <v>0</v>
      </c>
      <c r="V421" s="20" t="s">
        <v>7</v>
      </c>
      <c r="W421" s="102">
        <f>W404*W413</f>
        <v>609</v>
      </c>
      <c r="X421" s="20" t="s">
        <v>7</v>
      </c>
      <c r="Y421" s="102">
        <f>Y404*Y413</f>
        <v>2250</v>
      </c>
      <c r="Z421" s="20" t="s">
        <v>7</v>
      </c>
      <c r="AA421" s="263">
        <f>AA404*AA413</f>
        <v>1957.5</v>
      </c>
      <c r="AB421" s="348">
        <f>AB404*AA413</f>
        <v>9787.5</v>
      </c>
      <c r="AC421" s="343"/>
    </row>
    <row r="422" spans="16:29" ht="13.5">
      <c r="P422" s="20"/>
      <c r="Q422" s="100"/>
      <c r="R422" s="20"/>
      <c r="S422" s="102"/>
      <c r="T422" s="13"/>
      <c r="U422" s="103"/>
      <c r="V422" s="20" t="s">
        <v>15</v>
      </c>
      <c r="W422" s="102">
        <f>W405*W414</f>
        <v>525</v>
      </c>
      <c r="X422" s="20"/>
      <c r="Y422" s="102"/>
      <c r="Z422" s="20" t="s">
        <v>15</v>
      </c>
      <c r="AA422" s="263">
        <f>AA405*AA414</f>
        <v>0</v>
      </c>
      <c r="AB422" s="348">
        <f>AB405*AA414</f>
        <v>0</v>
      </c>
      <c r="AC422" s="343"/>
    </row>
    <row r="423" spans="16:29" ht="13.5">
      <c r="P423" s="20"/>
      <c r="Q423" s="100"/>
      <c r="R423" s="13"/>
      <c r="S423" s="103"/>
      <c r="T423" s="20"/>
      <c r="U423" s="102"/>
      <c r="V423" s="13"/>
      <c r="W423" s="103"/>
      <c r="X423" s="20"/>
      <c r="Y423" s="102"/>
      <c r="Z423" s="20" t="s">
        <v>94</v>
      </c>
      <c r="AA423" s="263">
        <f>AA406*AA415</f>
        <v>292.5</v>
      </c>
      <c r="AB423" s="348">
        <f>AB406*AA415</f>
        <v>292.5</v>
      </c>
      <c r="AC423" s="343"/>
    </row>
    <row r="424" spans="16:29" ht="14.25" thickBot="1">
      <c r="P424" s="20"/>
      <c r="Q424" s="100"/>
      <c r="R424" s="13"/>
      <c r="S424" s="103"/>
      <c r="T424" s="193"/>
      <c r="U424" s="194"/>
      <c r="V424" s="13"/>
      <c r="W424" s="103"/>
      <c r="X424" s="20"/>
      <c r="Y424" s="102"/>
      <c r="Z424" s="20" t="s">
        <v>92</v>
      </c>
      <c r="AA424" s="263">
        <f>AA407*AA416</f>
        <v>0</v>
      </c>
      <c r="AB424" s="342">
        <f>AB407*AA416</f>
        <v>0</v>
      </c>
      <c r="AC424" s="343"/>
    </row>
    <row r="425" spans="16:29" ht="15" thickTop="1" thickBot="1">
      <c r="P425" s="79" t="s">
        <v>47</v>
      </c>
      <c r="Q425" s="101">
        <f>SUM(Q420:Q424)</f>
        <v>2550</v>
      </c>
      <c r="R425" s="80"/>
      <c r="S425" s="109">
        <f>SUM(S420:S424)</f>
        <v>409.5</v>
      </c>
      <c r="T425" s="81"/>
      <c r="U425" s="195">
        <f>SUM(U420:U424)</f>
        <v>2025</v>
      </c>
      <c r="V425" s="82"/>
      <c r="W425" s="105">
        <f>SUM(W420:W424)</f>
        <v>1134</v>
      </c>
      <c r="X425" s="83"/>
      <c r="Y425" s="104">
        <f>SUM(Y420:Y424)</f>
        <v>2250</v>
      </c>
      <c r="Z425" s="83"/>
      <c r="AA425" s="264">
        <f>SUM(AA420:AA424)</f>
        <v>2250</v>
      </c>
      <c r="AB425" s="344">
        <f>SUM(AB420:AB424)</f>
        <v>10080</v>
      </c>
      <c r="AC425" s="345"/>
    </row>
    <row r="428" spans="16:29">
      <c r="AA428" s="3" t="s">
        <v>106</v>
      </c>
      <c r="AB428" s="261">
        <f>Q425+S425+U425+W425+Y425+AB425</f>
        <v>18448.5</v>
      </c>
      <c r="AC428" s="260"/>
    </row>
  </sheetData>
  <mergeCells count="100">
    <mergeCell ref="G5:G6"/>
    <mergeCell ref="H5:H6"/>
    <mergeCell ref="P410:Q410"/>
    <mergeCell ref="R410:S410"/>
    <mergeCell ref="T410:U410"/>
    <mergeCell ref="T237:U237"/>
    <mergeCell ref="T171:U171"/>
    <mergeCell ref="R171:S171"/>
    <mergeCell ref="Z410:AB410"/>
    <mergeCell ref="V401:W401"/>
    <mergeCell ref="Z418:AC418"/>
    <mergeCell ref="P418:Q418"/>
    <mergeCell ref="R418:S418"/>
    <mergeCell ref="T418:U418"/>
    <mergeCell ref="V418:W418"/>
    <mergeCell ref="X418:Y418"/>
    <mergeCell ref="V410:W410"/>
    <mergeCell ref="R401:S401"/>
    <mergeCell ref="X401:Y401"/>
    <mergeCell ref="T401:U401"/>
    <mergeCell ref="X410:Y410"/>
    <mergeCell ref="X171:Y171"/>
    <mergeCell ref="P401:Q401"/>
    <mergeCell ref="Z401:AB401"/>
    <mergeCell ref="V367:W367"/>
    <mergeCell ref="X367:Y367"/>
    <mergeCell ref="Z367:AA367"/>
    <mergeCell ref="T204:U204"/>
    <mergeCell ref="V303:W303"/>
    <mergeCell ref="X303:Y303"/>
    <mergeCell ref="R237:S237"/>
    <mergeCell ref="V336:W336"/>
    <mergeCell ref="V204:W204"/>
    <mergeCell ref="X204:Y204"/>
    <mergeCell ref="R204:S204"/>
    <mergeCell ref="R270:S270"/>
    <mergeCell ref="T270:U270"/>
    <mergeCell ref="M3:S3"/>
    <mergeCell ref="R6:S6"/>
    <mergeCell ref="R72:S72"/>
    <mergeCell ref="T6:U6"/>
    <mergeCell ref="R138:S138"/>
    <mergeCell ref="T138:U138"/>
    <mergeCell ref="R105:S105"/>
    <mergeCell ref="T72:U72"/>
    <mergeCell ref="T105:U105"/>
    <mergeCell ref="Z6:AA6"/>
    <mergeCell ref="V3:AD3"/>
    <mergeCell ref="V4:AD4"/>
    <mergeCell ref="V5:AD5"/>
    <mergeCell ref="Z72:AA72"/>
    <mergeCell ref="Z39:AA39"/>
    <mergeCell ref="V39:W39"/>
    <mergeCell ref="V72:W72"/>
    <mergeCell ref="X72:Y72"/>
    <mergeCell ref="X39:Y39"/>
    <mergeCell ref="L2:AB2"/>
    <mergeCell ref="X105:Y105"/>
    <mergeCell ref="Z204:AA204"/>
    <mergeCell ref="Z105:AA105"/>
    <mergeCell ref="V138:W138"/>
    <mergeCell ref="X138:Y138"/>
    <mergeCell ref="Z138:AA138"/>
    <mergeCell ref="Z171:AA171"/>
    <mergeCell ref="V171:W171"/>
    <mergeCell ref="V105:W105"/>
    <mergeCell ref="M5:U5"/>
    <mergeCell ref="M4:U4"/>
    <mergeCell ref="T39:U39"/>
    <mergeCell ref="R39:S39"/>
    <mergeCell ref="V6:W6"/>
    <mergeCell ref="X6:Y6"/>
    <mergeCell ref="Z270:AA270"/>
    <mergeCell ref="Z237:AA237"/>
    <mergeCell ref="V237:W237"/>
    <mergeCell ref="X237:Y237"/>
    <mergeCell ref="V270:W270"/>
    <mergeCell ref="X270:Y270"/>
    <mergeCell ref="Z336:AA336"/>
    <mergeCell ref="T303:U303"/>
    <mergeCell ref="T336:U336"/>
    <mergeCell ref="T367:U367"/>
    <mergeCell ref="R367:S367"/>
    <mergeCell ref="R303:S303"/>
    <mergeCell ref="R336:S336"/>
    <mergeCell ref="X336:Y336"/>
    <mergeCell ref="Z303:AA303"/>
    <mergeCell ref="A5:A6"/>
    <mergeCell ref="F5:F6"/>
    <mergeCell ref="C5:C6"/>
    <mergeCell ref="B5:B6"/>
    <mergeCell ref="E5:E6"/>
    <mergeCell ref="D5:D6"/>
    <mergeCell ref="AB424:AC424"/>
    <mergeCell ref="AB425:AC425"/>
    <mergeCell ref="AB419:AC419"/>
    <mergeCell ref="AB420:AC420"/>
    <mergeCell ref="AB421:AC421"/>
    <mergeCell ref="AB422:AC422"/>
    <mergeCell ref="AB423:AC423"/>
  </mergeCells>
  <phoneticPr fontId="1"/>
  <conditionalFormatting sqref="M7:AA398">
    <cfRule type="expression" dxfId="4" priority="2" stopIfTrue="1">
      <formula>$L7="閉"</formula>
    </cfRule>
  </conditionalFormatting>
  <printOptions horizontalCentered="1"/>
  <pageMargins left="0.98425196850393704" right="0.59055118110236227" top="0.78740157480314965" bottom="0.19685039370078741" header="0.51181102362204722" footer="0.51181102362204722"/>
  <pageSetup paperSize="9" scale="62" fitToHeight="12" orientation="portrait" r:id="rId1"/>
  <headerFooter alignWithMargins="0">
    <oddFooter>&amp;C&amp;"ＭＳ ゴシック,標準"&amp;9&amp;P/&amp;N</oddFooter>
  </headerFooter>
  <rowBreaks count="6" manualBreakCount="6">
    <brk id="71" max="16383" man="1"/>
    <brk id="137" max="16383" man="1"/>
    <brk id="203" max="16383" man="1"/>
    <brk id="269" max="16383" man="1"/>
    <brk id="335" max="16383" man="1"/>
    <brk id="399"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sheetPr>
  <dimension ref="A1:AE428"/>
  <sheetViews>
    <sheetView showZeros="0" tabSelected="1" view="pageBreakPreview" zoomScale="90" zoomScaleNormal="100" zoomScaleSheetLayoutView="90" workbookViewId="0">
      <pane ySplit="5" topLeftCell="A382" activePane="bottomLeft" state="frozen"/>
      <selection pane="bottomLeft" activeCell="AB385" sqref="AB385"/>
    </sheetView>
  </sheetViews>
  <sheetFormatPr defaultColWidth="9" defaultRowHeight="11.25"/>
  <cols>
    <col min="1" max="1" width="2.5" style="1" customWidth="1"/>
    <col min="2" max="2" width="5.875" style="3" customWidth="1"/>
    <col min="3" max="3" width="3" style="2" bestFit="1" customWidth="1"/>
    <col min="4" max="4" width="6" style="12" bestFit="1" customWidth="1"/>
    <col min="5" max="5" width="7.375" style="1" bestFit="1" customWidth="1"/>
    <col min="6" max="6" width="6.5" style="2" customWidth="1"/>
    <col min="7" max="7" width="2.5" style="2" customWidth="1"/>
    <col min="8" max="8" width="6.5" style="2" customWidth="1"/>
    <col min="9" max="9" width="2.5" style="2" customWidth="1"/>
    <col min="10" max="10" width="6.5" style="2" customWidth="1"/>
    <col min="11" max="11" width="2.5" style="1" customWidth="1"/>
    <col min="12" max="12" width="6.5" style="2" customWidth="1"/>
    <col min="13" max="13" width="2.5" style="1" customWidth="1"/>
    <col min="14" max="14" width="6.5" style="1" customWidth="1"/>
    <col min="15" max="15" width="2.5" style="1" customWidth="1"/>
    <col min="16" max="16" width="6.5" style="3" customWidth="1"/>
    <col min="17" max="17" width="6" style="1" customWidth="1"/>
    <col min="18" max="18" width="5" style="1" customWidth="1"/>
    <col min="19" max="19" width="9.875" style="1" customWidth="1"/>
    <col min="20" max="20" width="2.5" style="1" customWidth="1"/>
    <col min="21" max="21" width="7.625" style="1" bestFit="1" customWidth="1"/>
    <col min="22" max="22" width="3.5" style="2" bestFit="1" customWidth="1"/>
    <col min="23" max="23" width="10.5" style="2" bestFit="1" customWidth="1"/>
    <col min="24" max="24" width="7.75" style="1" customWidth="1"/>
    <col min="25" max="25" width="6.75" style="1" customWidth="1"/>
    <col min="26" max="26" width="5.5" style="1" bestFit="1" customWidth="1"/>
    <col min="27" max="27" width="11.125" style="1" customWidth="1"/>
    <col min="28" max="28" width="8.75" style="1" customWidth="1"/>
    <col min="29" max="29" width="12.625" style="1" customWidth="1"/>
    <col min="30" max="30" width="4.625" style="1" bestFit="1" customWidth="1"/>
    <col min="31" max="32" width="9.625" style="1" customWidth="1"/>
    <col min="33" max="33" width="4.625" style="1" bestFit="1" customWidth="1"/>
    <col min="34" max="16384" width="9" style="1"/>
  </cols>
  <sheetData>
    <row r="1" spans="1:29" ht="15" customHeight="1">
      <c r="Q1" s="135"/>
      <c r="R1" s="135"/>
      <c r="S1" s="135"/>
      <c r="T1" s="135"/>
      <c r="AB1" s="3" t="s">
        <v>113</v>
      </c>
      <c r="AC1" s="212">
        <v>45748</v>
      </c>
    </row>
    <row r="2" spans="1:29" ht="20.45" customHeight="1">
      <c r="A2" s="357" t="s">
        <v>134</v>
      </c>
      <c r="B2" s="357"/>
      <c r="C2" s="357"/>
      <c r="D2" s="357"/>
      <c r="E2" s="357"/>
      <c r="F2" s="357"/>
      <c r="G2" s="357"/>
      <c r="H2" s="357"/>
      <c r="I2" s="357"/>
      <c r="J2" s="357"/>
      <c r="K2" s="357"/>
      <c r="L2" s="357"/>
      <c r="M2" s="357"/>
      <c r="N2" s="357"/>
      <c r="O2" s="357"/>
      <c r="P2" s="357"/>
      <c r="Q2" s="357"/>
      <c r="R2" s="220"/>
      <c r="S2" s="220"/>
      <c r="T2" s="208"/>
      <c r="U2" s="18"/>
      <c r="V2" s="157"/>
      <c r="W2" s="157"/>
      <c r="AC2" s="213" t="s">
        <v>135</v>
      </c>
    </row>
    <row r="3" spans="1:29" ht="37.5" customHeight="1">
      <c r="A3" s="78"/>
      <c r="B3" s="382" t="s">
        <v>136</v>
      </c>
      <c r="C3" s="382"/>
      <c r="D3" s="382"/>
      <c r="E3" s="382"/>
      <c r="F3" s="382"/>
      <c r="G3" s="382"/>
      <c r="H3" s="382"/>
      <c r="I3" s="210"/>
      <c r="J3" s="210"/>
      <c r="K3" s="384" t="s">
        <v>150</v>
      </c>
      <c r="L3" s="384"/>
      <c r="M3" s="384"/>
      <c r="N3" s="384"/>
      <c r="O3" s="384"/>
      <c r="P3" s="384"/>
      <c r="Q3" s="384"/>
      <c r="R3" s="385"/>
      <c r="S3" s="385"/>
      <c r="T3" s="209"/>
    </row>
    <row r="4" spans="1:29" ht="38.1" customHeight="1">
      <c r="A4" s="78"/>
      <c r="B4" s="383" t="s">
        <v>146</v>
      </c>
      <c r="C4" s="383"/>
      <c r="D4" s="383"/>
      <c r="E4" s="383"/>
      <c r="F4" s="383"/>
      <c r="G4" s="383"/>
      <c r="H4" s="383"/>
      <c r="I4" s="383"/>
      <c r="J4" s="383"/>
      <c r="K4" s="382" t="s">
        <v>148</v>
      </c>
      <c r="L4" s="382"/>
      <c r="M4" s="382"/>
      <c r="N4" s="382"/>
      <c r="O4" s="382"/>
      <c r="P4" s="382"/>
      <c r="Q4" s="382"/>
      <c r="R4" s="386"/>
      <c r="S4" s="386"/>
      <c r="T4" s="210"/>
    </row>
    <row r="5" spans="1:29" ht="49.5" customHeight="1">
      <c r="A5" s="78"/>
      <c r="B5" s="379" t="s">
        <v>147</v>
      </c>
      <c r="C5" s="380"/>
      <c r="D5" s="380"/>
      <c r="E5" s="380"/>
      <c r="F5" s="380"/>
      <c r="G5" s="380"/>
      <c r="H5" s="380"/>
      <c r="I5" s="381"/>
      <c r="J5" s="381"/>
      <c r="K5" s="387" t="s">
        <v>152</v>
      </c>
      <c r="L5" s="387"/>
      <c r="M5" s="387"/>
      <c r="N5" s="387"/>
      <c r="O5" s="387"/>
      <c r="P5" s="387"/>
      <c r="Q5" s="387"/>
      <c r="R5" s="388"/>
      <c r="S5" s="388"/>
      <c r="T5" s="210"/>
      <c r="AC5" s="300" t="s">
        <v>87</v>
      </c>
    </row>
    <row r="6" spans="1:29" ht="6.75" customHeight="1" thickBot="1">
      <c r="A6" s="78"/>
      <c r="B6" s="266"/>
      <c r="C6" s="267"/>
      <c r="D6" s="267"/>
      <c r="E6" s="267"/>
      <c r="F6" s="267"/>
      <c r="G6" s="267"/>
      <c r="H6" s="267"/>
      <c r="I6" s="268"/>
      <c r="J6" s="268"/>
      <c r="K6" s="269"/>
      <c r="L6" s="269"/>
      <c r="M6" s="269"/>
      <c r="N6" s="269"/>
      <c r="O6" s="269"/>
      <c r="P6" s="269"/>
      <c r="Q6" s="269"/>
      <c r="R6" s="270"/>
      <c r="S6" s="270"/>
      <c r="T6" s="210"/>
      <c r="AC6" s="300"/>
    </row>
    <row r="7" spans="1:29" customFormat="1" ht="27.75" customHeight="1" thickBot="1">
      <c r="A7" s="31"/>
      <c r="B7" s="14"/>
      <c r="C7" s="15"/>
      <c r="D7" s="16" t="s">
        <v>5</v>
      </c>
      <c r="E7" s="17" t="s">
        <v>6</v>
      </c>
      <c r="F7" s="38" t="s">
        <v>8</v>
      </c>
      <c r="G7" s="364" t="s">
        <v>13</v>
      </c>
      <c r="H7" s="365"/>
      <c r="I7" s="364" t="s">
        <v>14</v>
      </c>
      <c r="J7" s="365"/>
      <c r="K7" s="389" t="s">
        <v>9</v>
      </c>
      <c r="L7" s="390"/>
      <c r="M7" s="389" t="s">
        <v>10</v>
      </c>
      <c r="N7" s="390"/>
      <c r="O7" s="389" t="s">
        <v>1</v>
      </c>
      <c r="P7" s="390"/>
      <c r="Q7" s="302" t="s">
        <v>114</v>
      </c>
      <c r="R7" s="302" t="s">
        <v>35</v>
      </c>
      <c r="S7" s="302" t="s">
        <v>116</v>
      </c>
      <c r="T7" s="39"/>
      <c r="U7" s="149" t="s">
        <v>72</v>
      </c>
      <c r="V7" s="156"/>
      <c r="W7" s="156" t="s">
        <v>74</v>
      </c>
      <c r="X7" s="175" t="s">
        <v>60</v>
      </c>
      <c r="Y7" s="175" t="s">
        <v>70</v>
      </c>
      <c r="Z7" s="150" t="s">
        <v>71</v>
      </c>
      <c r="AA7" s="150" t="s">
        <v>61</v>
      </c>
      <c r="AB7" s="150" t="s">
        <v>62</v>
      </c>
      <c r="AC7" s="151" t="s">
        <v>63</v>
      </c>
    </row>
    <row r="8" spans="1:29" ht="13.5">
      <c r="A8" s="28" t="str">
        <f>配置表!L7</f>
        <v/>
      </c>
      <c r="B8" s="9">
        <f>配置表!M7</f>
        <v>45748</v>
      </c>
      <c r="C8" s="10" t="str">
        <f>配置表!N7</f>
        <v>火</v>
      </c>
      <c r="D8" s="62" t="str">
        <f>配置表!O7</f>
        <v>春　特別展</v>
      </c>
      <c r="E8" s="63" t="str">
        <f>配置表!P7</f>
        <v>テーマ展</v>
      </c>
      <c r="F8" s="44" t="str">
        <f>配置表!Q7</f>
        <v>○</v>
      </c>
      <c r="G8" s="45">
        <f>配置表!R7</f>
        <v>0</v>
      </c>
      <c r="H8" s="10" t="str">
        <f>配置表!S7</f>
        <v/>
      </c>
      <c r="I8" s="46">
        <f>配置表!T7</f>
        <v>0</v>
      </c>
      <c r="J8" s="47" t="str">
        <f>配置表!U7</f>
        <v>●</v>
      </c>
      <c r="K8" s="32">
        <f>配置表!V7</f>
        <v>0</v>
      </c>
      <c r="L8" s="33" t="str">
        <f>配置表!W7</f>
        <v>○</v>
      </c>
      <c r="M8" s="32">
        <f>配置表!X7</f>
        <v>0</v>
      </c>
      <c r="N8" s="33" t="str">
        <f>配置表!Y7</f>
        <v>○</v>
      </c>
      <c r="O8" s="32">
        <f>配置表!Z7</f>
        <v>5</v>
      </c>
      <c r="P8" s="33" t="str">
        <f>配置表!AA7</f>
        <v>○</v>
      </c>
      <c r="Q8" s="337">
        <v>0.41666666666666669</v>
      </c>
      <c r="R8" s="337">
        <v>0.70833333333333337</v>
      </c>
      <c r="S8" s="237" t="str">
        <f>配置表!AD7</f>
        <v/>
      </c>
      <c r="T8" s="63"/>
      <c r="U8" s="173" t="s">
        <v>88</v>
      </c>
      <c r="V8" s="156"/>
      <c r="W8" s="156"/>
      <c r="X8" s="176"/>
      <c r="Y8" s="177"/>
      <c r="Z8" s="181">
        <f>COUNTIF(F8:F38,V8)</f>
        <v>0</v>
      </c>
      <c r="AA8" s="174">
        <f>X8*Y8*Z8</f>
        <v>0</v>
      </c>
      <c r="AB8" s="181"/>
      <c r="AC8" s="315">
        <f>SUM(AA8*AB8)</f>
        <v>0</v>
      </c>
    </row>
    <row r="9" spans="1:29" ht="13.5">
      <c r="A9" s="28" t="str">
        <f>配置表!L8</f>
        <v/>
      </c>
      <c r="B9" s="9">
        <f>配置表!M8</f>
        <v>45749</v>
      </c>
      <c r="C9" s="10" t="str">
        <f>配置表!N8</f>
        <v>水</v>
      </c>
      <c r="D9" s="62" t="str">
        <f>配置表!O8</f>
        <v>春　特別展</v>
      </c>
      <c r="E9" s="63" t="str">
        <f>配置表!P8</f>
        <v>テーマ展</v>
      </c>
      <c r="F9" s="44" t="str">
        <f>配置表!Q8</f>
        <v>○</v>
      </c>
      <c r="G9" s="45">
        <f>配置表!R8</f>
        <v>0</v>
      </c>
      <c r="H9" s="10" t="str">
        <f>配置表!S8</f>
        <v/>
      </c>
      <c r="I9" s="45">
        <f>配置表!T8</f>
        <v>0</v>
      </c>
      <c r="J9" s="33" t="str">
        <f>配置表!U8</f>
        <v>●</v>
      </c>
      <c r="K9" s="32">
        <f>配置表!V8</f>
        <v>0</v>
      </c>
      <c r="L9" s="33" t="str">
        <f>配置表!W8</f>
        <v>○</v>
      </c>
      <c r="M9" s="32">
        <f>配置表!X8</f>
        <v>0</v>
      </c>
      <c r="N9" s="33" t="str">
        <f>配置表!Y8</f>
        <v>○</v>
      </c>
      <c r="O9" s="32">
        <f>配置表!Z8</f>
        <v>5</v>
      </c>
      <c r="P9" s="33" t="str">
        <f>配置表!AA8</f>
        <v>○</v>
      </c>
      <c r="Q9" s="227">
        <f>配置表!AB8</f>
        <v>0.41666666666666669</v>
      </c>
      <c r="R9" s="227">
        <f>配置表!AC8</f>
        <v>0.70833333333333337</v>
      </c>
      <c r="S9" s="238" t="str">
        <f>配置表!AD8</f>
        <v/>
      </c>
      <c r="T9" s="63"/>
      <c r="U9" s="152" t="s">
        <v>88</v>
      </c>
      <c r="V9" s="155" t="s">
        <v>66</v>
      </c>
      <c r="W9" s="274" t="s">
        <v>126</v>
      </c>
      <c r="X9" s="275">
        <v>8.5</v>
      </c>
      <c r="Y9" s="158">
        <v>1</v>
      </c>
      <c r="Z9" s="182">
        <f>COUNTIF(F8:F38,V9)</f>
        <v>26</v>
      </c>
      <c r="AA9" s="154">
        <f t="shared" ref="AA9:AA24" si="0">X9*Y9*Z9</f>
        <v>221</v>
      </c>
      <c r="AB9" s="182"/>
      <c r="AC9" s="183">
        <f t="shared" ref="AC9:AC24" si="1">SUM(AA9*AB9)</f>
        <v>0</v>
      </c>
    </row>
    <row r="10" spans="1:29" ht="13.5">
      <c r="A10" s="28" t="str">
        <f>配置表!L9</f>
        <v/>
      </c>
      <c r="B10" s="9">
        <f>配置表!M9</f>
        <v>45750</v>
      </c>
      <c r="C10" s="10" t="str">
        <f>配置表!N9</f>
        <v>木</v>
      </c>
      <c r="D10" s="62" t="str">
        <f>配置表!O9</f>
        <v>春　特別展</v>
      </c>
      <c r="E10" s="63" t="str">
        <f>配置表!P9</f>
        <v>テーマ展</v>
      </c>
      <c r="F10" s="44" t="str">
        <f>配置表!Q9</f>
        <v>○</v>
      </c>
      <c r="G10" s="45">
        <f>配置表!R9</f>
        <v>0</v>
      </c>
      <c r="H10" s="10" t="str">
        <f>配置表!S9</f>
        <v/>
      </c>
      <c r="I10" s="45">
        <f>配置表!T9</f>
        <v>0</v>
      </c>
      <c r="J10" s="33" t="str">
        <f>配置表!U9</f>
        <v>●</v>
      </c>
      <c r="K10" s="32">
        <f>配置表!V9</f>
        <v>0</v>
      </c>
      <c r="L10" s="33" t="str">
        <f>配置表!W9</f>
        <v>○</v>
      </c>
      <c r="M10" s="32">
        <f>配置表!X9</f>
        <v>0</v>
      </c>
      <c r="N10" s="33" t="str">
        <f>配置表!Y9</f>
        <v>○</v>
      </c>
      <c r="O10" s="32">
        <f>配置表!Z9</f>
        <v>5</v>
      </c>
      <c r="P10" s="33" t="str">
        <f>配置表!AA9</f>
        <v>○</v>
      </c>
      <c r="Q10" s="227">
        <f>配置表!AB9</f>
        <v>0.41666666666666669</v>
      </c>
      <c r="R10" s="227">
        <f>配置表!AC9</f>
        <v>0.70833333333333337</v>
      </c>
      <c r="S10" s="238" t="str">
        <f>配置表!AD9</f>
        <v/>
      </c>
      <c r="T10" s="63"/>
      <c r="U10" s="152" t="s">
        <v>89</v>
      </c>
      <c r="V10" s="155" t="s">
        <v>66</v>
      </c>
      <c r="W10" s="155" t="s">
        <v>141</v>
      </c>
      <c r="X10" s="191">
        <v>5.25</v>
      </c>
      <c r="Y10" s="158">
        <v>1</v>
      </c>
      <c r="Z10" s="182">
        <f>COUNTIF(H8:H38,V10)</f>
        <v>9</v>
      </c>
      <c r="AA10" s="154">
        <f t="shared" si="0"/>
        <v>47.25</v>
      </c>
      <c r="AB10" s="182"/>
      <c r="AC10" s="183">
        <f t="shared" si="1"/>
        <v>0</v>
      </c>
    </row>
    <row r="11" spans="1:29" ht="13.5">
      <c r="A11" s="28" t="str">
        <f>配置表!L10</f>
        <v/>
      </c>
      <c r="B11" s="9">
        <f>配置表!M10</f>
        <v>45751</v>
      </c>
      <c r="C11" s="10" t="str">
        <f>配置表!N10</f>
        <v>金</v>
      </c>
      <c r="D11" s="62" t="str">
        <f>配置表!O10</f>
        <v>春　特別展</v>
      </c>
      <c r="E11" s="63" t="str">
        <f>配置表!P10</f>
        <v>テーマ展</v>
      </c>
      <c r="F11" s="44" t="str">
        <f>配置表!Q10</f>
        <v>○</v>
      </c>
      <c r="G11" s="45">
        <f>配置表!R10</f>
        <v>0</v>
      </c>
      <c r="H11" s="10" t="str">
        <f>配置表!S10</f>
        <v/>
      </c>
      <c r="I11" s="45">
        <f>配置表!T10</f>
        <v>0</v>
      </c>
      <c r="J11" s="33" t="str">
        <f>配置表!U10</f>
        <v>●</v>
      </c>
      <c r="K11" s="32">
        <f>配置表!V10</f>
        <v>0</v>
      </c>
      <c r="L11" s="33" t="str">
        <f>配置表!W10</f>
        <v>○</v>
      </c>
      <c r="M11" s="32">
        <f>配置表!X10</f>
        <v>0</v>
      </c>
      <c r="N11" s="33" t="str">
        <f>配置表!Y10</f>
        <v>○</v>
      </c>
      <c r="O11" s="32">
        <f>配置表!Z10</f>
        <v>5</v>
      </c>
      <c r="P11" s="33" t="str">
        <f>配置表!AA10</f>
        <v>○</v>
      </c>
      <c r="Q11" s="227">
        <f>配置表!AB10</f>
        <v>0.41666666666666669</v>
      </c>
      <c r="R11" s="227">
        <f>配置表!AC10</f>
        <v>0.70833333333333337</v>
      </c>
      <c r="S11" s="238" t="str">
        <f>配置表!AD10</f>
        <v/>
      </c>
      <c r="T11" s="63"/>
      <c r="U11" s="152"/>
      <c r="V11" s="155"/>
      <c r="W11" s="155"/>
      <c r="X11" s="153"/>
      <c r="Y11" s="158"/>
      <c r="Z11" s="182">
        <f>COUNTIF(H8:H38,V11)</f>
        <v>0</v>
      </c>
      <c r="AA11" s="154">
        <f t="shared" si="0"/>
        <v>0</v>
      </c>
      <c r="AB11" s="182"/>
      <c r="AC11" s="183">
        <f t="shared" si="1"/>
        <v>0</v>
      </c>
    </row>
    <row r="12" spans="1:29" ht="13.5">
      <c r="A12" s="28" t="str">
        <f>配置表!L11</f>
        <v/>
      </c>
      <c r="B12" s="9">
        <f>配置表!M11</f>
        <v>45752</v>
      </c>
      <c r="C12" s="10" t="str">
        <f>配置表!N11</f>
        <v>土</v>
      </c>
      <c r="D12" s="62" t="str">
        <f>配置表!O11</f>
        <v>春　特別展</v>
      </c>
      <c r="E12" s="63" t="str">
        <f>配置表!P11</f>
        <v>テーマ展</v>
      </c>
      <c r="F12" s="44" t="str">
        <f>配置表!Q11</f>
        <v>○</v>
      </c>
      <c r="G12" s="45">
        <f>配置表!R11</f>
        <v>0</v>
      </c>
      <c r="H12" s="10" t="str">
        <f>配置表!S11</f>
        <v>○</v>
      </c>
      <c r="I12" s="45">
        <f>配置表!T11</f>
        <v>0</v>
      </c>
      <c r="J12" s="33" t="str">
        <f>配置表!U11</f>
        <v>●</v>
      </c>
      <c r="K12" s="32">
        <f>配置表!V11</f>
        <v>0</v>
      </c>
      <c r="L12" s="33" t="str">
        <f>配置表!W11</f>
        <v>◎</v>
      </c>
      <c r="M12" s="32">
        <f>配置表!X11</f>
        <v>0</v>
      </c>
      <c r="N12" s="33" t="str">
        <f>配置表!Y11</f>
        <v>○</v>
      </c>
      <c r="O12" s="32">
        <f>配置表!Z11</f>
        <v>5</v>
      </c>
      <c r="P12" s="33" t="str">
        <f>配置表!AA11</f>
        <v>○</v>
      </c>
      <c r="Q12" s="227">
        <f>配置表!AB11</f>
        <v>0.41666666666666669</v>
      </c>
      <c r="R12" s="227">
        <f>配置表!AC11</f>
        <v>0.70833333333333337</v>
      </c>
      <c r="S12" s="238" t="str">
        <f>配置表!AD11</f>
        <v/>
      </c>
      <c r="T12" s="63"/>
      <c r="U12" s="152"/>
      <c r="V12" s="155"/>
      <c r="W12" s="155"/>
      <c r="X12" s="153"/>
      <c r="Y12" s="158"/>
      <c r="Z12" s="182">
        <f>COUNTIF(H8:H38,V12)</f>
        <v>0</v>
      </c>
      <c r="AA12" s="154">
        <f t="shared" si="0"/>
        <v>0</v>
      </c>
      <c r="AB12" s="182"/>
      <c r="AC12" s="183">
        <f t="shared" si="1"/>
        <v>0</v>
      </c>
    </row>
    <row r="13" spans="1:29" ht="13.5">
      <c r="A13" s="28" t="str">
        <f>配置表!L12</f>
        <v/>
      </c>
      <c r="B13" s="9">
        <f>配置表!M12</f>
        <v>45753</v>
      </c>
      <c r="C13" s="10" t="str">
        <f>配置表!N12</f>
        <v>日</v>
      </c>
      <c r="D13" s="62" t="str">
        <f>配置表!O12</f>
        <v>春　特別展</v>
      </c>
      <c r="E13" s="63" t="str">
        <f>配置表!P12</f>
        <v>テーマ展</v>
      </c>
      <c r="F13" s="44" t="str">
        <f>配置表!Q12</f>
        <v>○</v>
      </c>
      <c r="G13" s="45">
        <f>配置表!R12</f>
        <v>0</v>
      </c>
      <c r="H13" s="10" t="str">
        <f>配置表!S12</f>
        <v>○</v>
      </c>
      <c r="I13" s="45">
        <f>配置表!T12</f>
        <v>0</v>
      </c>
      <c r="J13" s="33" t="str">
        <f>配置表!U12</f>
        <v>●</v>
      </c>
      <c r="K13" s="32">
        <f>配置表!V12</f>
        <v>0</v>
      </c>
      <c r="L13" s="33" t="str">
        <f>配置表!W12</f>
        <v>◎</v>
      </c>
      <c r="M13" s="32">
        <f>配置表!X12</f>
        <v>0</v>
      </c>
      <c r="N13" s="33" t="str">
        <f>配置表!Y12</f>
        <v>○</v>
      </c>
      <c r="O13" s="32">
        <f>配置表!Z12</f>
        <v>5</v>
      </c>
      <c r="P13" s="33" t="str">
        <f>配置表!AA12</f>
        <v>○</v>
      </c>
      <c r="Q13" s="227">
        <f>配置表!AB12</f>
        <v>0.41666666666666669</v>
      </c>
      <c r="R13" s="227">
        <f>配置表!AC12</f>
        <v>0.70833333333333337</v>
      </c>
      <c r="S13" s="238" t="str">
        <f>配置表!AD12</f>
        <v/>
      </c>
      <c r="T13" s="63"/>
      <c r="U13" s="152" t="s">
        <v>90</v>
      </c>
      <c r="V13" s="155" t="s">
        <v>46</v>
      </c>
      <c r="W13" s="155" t="s">
        <v>142</v>
      </c>
      <c r="X13" s="191">
        <v>6.75</v>
      </c>
      <c r="Y13" s="158">
        <v>1</v>
      </c>
      <c r="Z13" s="182">
        <f>COUNTIF(J8:J38,V13)</f>
        <v>26</v>
      </c>
      <c r="AA13" s="154">
        <f t="shared" si="0"/>
        <v>175.5</v>
      </c>
      <c r="AB13" s="182"/>
      <c r="AC13" s="183">
        <f t="shared" si="1"/>
        <v>0</v>
      </c>
    </row>
    <row r="14" spans="1:29" ht="13.5">
      <c r="A14" s="28" t="str">
        <f>配置表!L13</f>
        <v>閉</v>
      </c>
      <c r="B14" s="9">
        <f>配置表!M13</f>
        <v>45754</v>
      </c>
      <c r="C14" s="10" t="str">
        <f>配置表!N13</f>
        <v>月</v>
      </c>
      <c r="D14" s="62" t="str">
        <f>配置表!O13</f>
        <v>春　特別展</v>
      </c>
      <c r="E14" s="63" t="str">
        <f>配置表!P13</f>
        <v>テーマ展</v>
      </c>
      <c r="F14" s="44" t="str">
        <f>配置表!Q13</f>
        <v>休</v>
      </c>
      <c r="G14" s="32">
        <f>配置表!R13</f>
        <v>0</v>
      </c>
      <c r="H14" s="33" t="str">
        <f>配置表!S13</f>
        <v>休</v>
      </c>
      <c r="I14" s="32">
        <f>配置表!T13</f>
        <v>0</v>
      </c>
      <c r="J14" s="33" t="str">
        <f>配置表!U13</f>
        <v>休</v>
      </c>
      <c r="K14" s="32">
        <f>配置表!V13</f>
        <v>0</v>
      </c>
      <c r="L14" s="33" t="str">
        <f>配置表!W13</f>
        <v>休</v>
      </c>
      <c r="M14" s="32">
        <f>配置表!X13</f>
        <v>0</v>
      </c>
      <c r="N14" s="33" t="str">
        <f>配置表!Y13</f>
        <v>休</v>
      </c>
      <c r="O14" s="32" t="str">
        <f>配置表!Z13</f>
        <v/>
      </c>
      <c r="P14" s="33" t="str">
        <f>配置表!AA13</f>
        <v>休</v>
      </c>
      <c r="Q14" s="227" t="str">
        <f>配置表!AB13</f>
        <v/>
      </c>
      <c r="R14" s="227" t="str">
        <f>配置表!AC13</f>
        <v/>
      </c>
      <c r="S14" s="238" t="str">
        <f>配置表!AD13</f>
        <v/>
      </c>
      <c r="T14" s="63"/>
      <c r="U14" s="152"/>
      <c r="V14" s="155"/>
      <c r="W14" s="155"/>
      <c r="X14" s="153"/>
      <c r="Y14" s="158"/>
      <c r="Z14" s="182">
        <f>COUNTIF(J8:J38,V14)</f>
        <v>0</v>
      </c>
      <c r="AA14" s="154">
        <f t="shared" si="0"/>
        <v>0</v>
      </c>
      <c r="AB14" s="182"/>
      <c r="AC14" s="183">
        <f t="shared" si="1"/>
        <v>0</v>
      </c>
    </row>
    <row r="15" spans="1:29" ht="13.5">
      <c r="A15" s="28" t="str">
        <f>配置表!L14</f>
        <v/>
      </c>
      <c r="B15" s="9">
        <f>配置表!M14</f>
        <v>45755</v>
      </c>
      <c r="C15" s="10" t="str">
        <f>配置表!N14</f>
        <v>火</v>
      </c>
      <c r="D15" s="62" t="str">
        <f>配置表!O14</f>
        <v>春　特別展</v>
      </c>
      <c r="E15" s="63" t="str">
        <f>配置表!P14</f>
        <v>テーマ展</v>
      </c>
      <c r="F15" s="44" t="str">
        <f>配置表!Q14</f>
        <v>○</v>
      </c>
      <c r="G15" s="45">
        <f>配置表!R14</f>
        <v>0</v>
      </c>
      <c r="H15" s="10" t="str">
        <f>配置表!S14</f>
        <v/>
      </c>
      <c r="I15" s="45">
        <f>配置表!T14</f>
        <v>0</v>
      </c>
      <c r="J15" s="33" t="str">
        <f>配置表!U14</f>
        <v>●</v>
      </c>
      <c r="K15" s="32">
        <f>配置表!V14</f>
        <v>0</v>
      </c>
      <c r="L15" s="33" t="str">
        <f>配置表!W14</f>
        <v>○</v>
      </c>
      <c r="M15" s="32">
        <f>配置表!X14</f>
        <v>0</v>
      </c>
      <c r="N15" s="33" t="str">
        <f>配置表!Y14</f>
        <v>○</v>
      </c>
      <c r="O15" s="32">
        <f>配置表!Z14</f>
        <v>5</v>
      </c>
      <c r="P15" s="33" t="str">
        <f>配置表!AA14</f>
        <v>○</v>
      </c>
      <c r="Q15" s="227">
        <f>配置表!AB14</f>
        <v>0.41666666666666669</v>
      </c>
      <c r="R15" s="227">
        <f>配置表!AC14</f>
        <v>0.70833333333333337</v>
      </c>
      <c r="S15" s="238" t="str">
        <f>配置表!AD14</f>
        <v/>
      </c>
      <c r="T15" s="63"/>
      <c r="U15" s="152" t="s">
        <v>91</v>
      </c>
      <c r="V15" s="155" t="s">
        <v>66</v>
      </c>
      <c r="W15" s="155" t="s">
        <v>141</v>
      </c>
      <c r="X15" s="191">
        <v>5.25</v>
      </c>
      <c r="Y15" s="158">
        <v>1</v>
      </c>
      <c r="Z15" s="186">
        <f>COUNTIF(L8:L38,V15)</f>
        <v>17</v>
      </c>
      <c r="AA15" s="154">
        <f t="shared" si="0"/>
        <v>89.25</v>
      </c>
      <c r="AB15" s="182"/>
      <c r="AC15" s="183">
        <f t="shared" si="1"/>
        <v>0</v>
      </c>
    </row>
    <row r="16" spans="1:29" ht="13.5">
      <c r="A16" s="28" t="str">
        <f>配置表!L15</f>
        <v/>
      </c>
      <c r="B16" s="9">
        <f>配置表!M15</f>
        <v>45756</v>
      </c>
      <c r="C16" s="10" t="str">
        <f>配置表!N15</f>
        <v>水</v>
      </c>
      <c r="D16" s="62" t="str">
        <f>配置表!O15</f>
        <v>春　特別展</v>
      </c>
      <c r="E16" s="63" t="str">
        <f>配置表!P15</f>
        <v>テーマ展</v>
      </c>
      <c r="F16" s="44" t="str">
        <f>配置表!Q15</f>
        <v>○</v>
      </c>
      <c r="G16" s="45">
        <f>配置表!R15</f>
        <v>0</v>
      </c>
      <c r="H16" s="10" t="str">
        <f>配置表!S15</f>
        <v/>
      </c>
      <c r="I16" s="45">
        <f>配置表!T15</f>
        <v>0</v>
      </c>
      <c r="J16" s="33" t="str">
        <f>配置表!U15</f>
        <v>●</v>
      </c>
      <c r="K16" s="32">
        <f>配置表!V15</f>
        <v>0</v>
      </c>
      <c r="L16" s="33" t="str">
        <f>配置表!W15</f>
        <v>○</v>
      </c>
      <c r="M16" s="32">
        <f>配置表!X15</f>
        <v>0</v>
      </c>
      <c r="N16" s="33" t="str">
        <f>配置表!Y15</f>
        <v>○</v>
      </c>
      <c r="O16" s="32">
        <f>配置表!Z15</f>
        <v>5</v>
      </c>
      <c r="P16" s="33" t="str">
        <f>配置表!AA15</f>
        <v>○</v>
      </c>
      <c r="Q16" s="227">
        <f>配置表!AB15</f>
        <v>0.41666666666666669</v>
      </c>
      <c r="R16" s="227">
        <f>配置表!AC15</f>
        <v>0.70833333333333337</v>
      </c>
      <c r="S16" s="238" t="str">
        <f>配置表!AD15</f>
        <v/>
      </c>
      <c r="T16" s="63"/>
      <c r="U16" s="152" t="s">
        <v>18</v>
      </c>
      <c r="V16" s="155" t="s">
        <v>15</v>
      </c>
      <c r="W16" s="155" t="s">
        <v>153</v>
      </c>
      <c r="X16" s="153">
        <v>5</v>
      </c>
      <c r="Y16" s="158">
        <v>1</v>
      </c>
      <c r="Z16" s="186">
        <f>COUNTIF(L8:L38,V16)</f>
        <v>9</v>
      </c>
      <c r="AA16" s="154">
        <f t="shared" si="0"/>
        <v>45</v>
      </c>
      <c r="AB16" s="182"/>
      <c r="AC16" s="183">
        <f t="shared" si="1"/>
        <v>0</v>
      </c>
    </row>
    <row r="17" spans="1:30" ht="13.5">
      <c r="A17" s="28" t="str">
        <f>配置表!L16</f>
        <v/>
      </c>
      <c r="B17" s="9">
        <f>配置表!M16</f>
        <v>45757</v>
      </c>
      <c r="C17" s="10" t="str">
        <f>配置表!N16</f>
        <v>木</v>
      </c>
      <c r="D17" s="62" t="str">
        <f>配置表!O16</f>
        <v>春　特別展</v>
      </c>
      <c r="E17" s="63" t="str">
        <f>配置表!P16</f>
        <v>テーマ展</v>
      </c>
      <c r="F17" s="44" t="str">
        <f>配置表!Q16</f>
        <v>○</v>
      </c>
      <c r="G17" s="45">
        <f>配置表!R16</f>
        <v>0</v>
      </c>
      <c r="H17" s="10" t="str">
        <f>配置表!S16</f>
        <v/>
      </c>
      <c r="I17" s="45">
        <f>配置表!T16</f>
        <v>0</v>
      </c>
      <c r="J17" s="33" t="str">
        <f>配置表!U16</f>
        <v>●</v>
      </c>
      <c r="K17" s="32">
        <f>配置表!V16</f>
        <v>0</v>
      </c>
      <c r="L17" s="33" t="str">
        <f>配置表!W16</f>
        <v>○</v>
      </c>
      <c r="M17" s="32">
        <f>配置表!X16</f>
        <v>0</v>
      </c>
      <c r="N17" s="33" t="str">
        <f>配置表!Y16</f>
        <v>○</v>
      </c>
      <c r="O17" s="32">
        <f>配置表!Z16</f>
        <v>5</v>
      </c>
      <c r="P17" s="33" t="str">
        <f>配置表!AA16</f>
        <v>○</v>
      </c>
      <c r="Q17" s="227">
        <f>配置表!AB16</f>
        <v>0.41666666666666669</v>
      </c>
      <c r="R17" s="227">
        <f>配置表!AC16</f>
        <v>0.70833333333333337</v>
      </c>
      <c r="S17" s="238" t="str">
        <f>配置表!AD16</f>
        <v/>
      </c>
      <c r="T17" s="63"/>
      <c r="U17" s="152"/>
      <c r="V17" s="155"/>
      <c r="W17" s="155"/>
      <c r="X17" s="153"/>
      <c r="Y17" s="158"/>
      <c r="Z17" s="186">
        <f>COUNTIF(N8:N38,V17)</f>
        <v>0</v>
      </c>
      <c r="AA17" s="154">
        <f t="shared" si="0"/>
        <v>0</v>
      </c>
      <c r="AB17" s="182"/>
      <c r="AC17" s="183">
        <f t="shared" si="1"/>
        <v>0</v>
      </c>
    </row>
    <row r="18" spans="1:30" ht="13.5">
      <c r="A18" s="28" t="str">
        <f>配置表!L17</f>
        <v/>
      </c>
      <c r="B18" s="9">
        <f>配置表!M17</f>
        <v>45758</v>
      </c>
      <c r="C18" s="10" t="str">
        <f>配置表!N17</f>
        <v>金</v>
      </c>
      <c r="D18" s="62" t="str">
        <f>配置表!O17</f>
        <v>春　特別展</v>
      </c>
      <c r="E18" s="63" t="str">
        <f>配置表!P17</f>
        <v>テーマ展</v>
      </c>
      <c r="F18" s="44" t="str">
        <f>配置表!Q17</f>
        <v>○</v>
      </c>
      <c r="G18" s="45">
        <f>配置表!R17</f>
        <v>0</v>
      </c>
      <c r="H18" s="10" t="str">
        <f>配置表!S17</f>
        <v/>
      </c>
      <c r="I18" s="45">
        <f>配置表!T17</f>
        <v>0</v>
      </c>
      <c r="J18" s="33" t="str">
        <f>配置表!U17</f>
        <v>●</v>
      </c>
      <c r="K18" s="32">
        <f>配置表!V17</f>
        <v>0</v>
      </c>
      <c r="L18" s="33" t="str">
        <f>配置表!W17</f>
        <v>○</v>
      </c>
      <c r="M18" s="32">
        <f>配置表!X17</f>
        <v>0</v>
      </c>
      <c r="N18" s="33" t="str">
        <f>配置表!Y17</f>
        <v>○</v>
      </c>
      <c r="O18" s="32">
        <f>配置表!Z17</f>
        <v>5</v>
      </c>
      <c r="P18" s="33" t="str">
        <f>配置表!AA17</f>
        <v>○</v>
      </c>
      <c r="Q18" s="227">
        <f>配置表!AB17</f>
        <v>0.41666666666666669</v>
      </c>
      <c r="R18" s="227">
        <f>配置表!AC17</f>
        <v>0.70833333333333337</v>
      </c>
      <c r="S18" s="238" t="str">
        <f>配置表!AD17</f>
        <v/>
      </c>
      <c r="T18" s="63"/>
      <c r="U18" s="152"/>
      <c r="V18" s="155"/>
      <c r="W18" s="274"/>
      <c r="X18" s="275"/>
      <c r="Y18" s="158"/>
      <c r="Z18" s="186">
        <f>COUNTIF(N8:N38,V18)</f>
        <v>0</v>
      </c>
      <c r="AA18" s="154">
        <f t="shared" si="0"/>
        <v>0</v>
      </c>
      <c r="AB18" s="182"/>
      <c r="AC18" s="183">
        <f t="shared" si="1"/>
        <v>0</v>
      </c>
    </row>
    <row r="19" spans="1:30" ht="13.5">
      <c r="A19" s="28" t="str">
        <f>配置表!L18</f>
        <v/>
      </c>
      <c r="B19" s="9">
        <f>配置表!M18</f>
        <v>45759</v>
      </c>
      <c r="C19" s="10" t="str">
        <f>配置表!N18</f>
        <v>土</v>
      </c>
      <c r="D19" s="62" t="str">
        <f>配置表!O18</f>
        <v>春　特別展</v>
      </c>
      <c r="E19" s="63" t="str">
        <f>配置表!P18</f>
        <v>テーマ展</v>
      </c>
      <c r="F19" s="44" t="str">
        <f>配置表!Q18</f>
        <v>○</v>
      </c>
      <c r="G19" s="45">
        <f>配置表!R18</f>
        <v>0</v>
      </c>
      <c r="H19" s="10" t="str">
        <f>配置表!S18</f>
        <v>○</v>
      </c>
      <c r="I19" s="45">
        <f>配置表!T18</f>
        <v>0</v>
      </c>
      <c r="J19" s="33" t="str">
        <f>配置表!U18</f>
        <v>●</v>
      </c>
      <c r="K19" s="32">
        <f>配置表!V18</f>
        <v>0</v>
      </c>
      <c r="L19" s="33" t="str">
        <f>配置表!W18</f>
        <v>◎</v>
      </c>
      <c r="M19" s="32">
        <f>配置表!X18</f>
        <v>0</v>
      </c>
      <c r="N19" s="33" t="str">
        <f>配置表!Y18</f>
        <v>○</v>
      </c>
      <c r="O19" s="32">
        <f>配置表!Z18</f>
        <v>5</v>
      </c>
      <c r="P19" s="33" t="str">
        <f>配置表!AA18</f>
        <v>○</v>
      </c>
      <c r="Q19" s="227">
        <f>配置表!AB18</f>
        <v>0.41666666666666669</v>
      </c>
      <c r="R19" s="227">
        <f>配置表!AC18</f>
        <v>0.70833333333333337</v>
      </c>
      <c r="S19" s="238" t="str">
        <f>配置表!AD18</f>
        <v/>
      </c>
      <c r="T19" s="63"/>
      <c r="U19" s="152" t="s">
        <v>19</v>
      </c>
      <c r="V19" s="155" t="s">
        <v>66</v>
      </c>
      <c r="W19" s="274" t="s">
        <v>127</v>
      </c>
      <c r="X19" s="275">
        <v>7.5</v>
      </c>
      <c r="Y19" s="158">
        <v>1</v>
      </c>
      <c r="Z19" s="186">
        <f>COUNTIF(N8:N38,V19)</f>
        <v>26</v>
      </c>
      <c r="AA19" s="154">
        <f t="shared" si="0"/>
        <v>195</v>
      </c>
      <c r="AB19" s="182"/>
      <c r="AC19" s="183">
        <f t="shared" si="1"/>
        <v>0</v>
      </c>
    </row>
    <row r="20" spans="1:30" ht="13.5">
      <c r="A20" s="28" t="str">
        <f>配置表!L19</f>
        <v/>
      </c>
      <c r="B20" s="9">
        <f>配置表!M19</f>
        <v>45760</v>
      </c>
      <c r="C20" s="10" t="str">
        <f>配置表!N19</f>
        <v>日</v>
      </c>
      <c r="D20" s="62" t="str">
        <f>配置表!O19</f>
        <v>春　特別展</v>
      </c>
      <c r="E20" s="63" t="str">
        <f>配置表!P19</f>
        <v>テーマ展</v>
      </c>
      <c r="F20" s="44" t="str">
        <f>配置表!Q19</f>
        <v>○</v>
      </c>
      <c r="G20" s="45">
        <f>配置表!R19</f>
        <v>0</v>
      </c>
      <c r="H20" s="10" t="str">
        <f>配置表!S19</f>
        <v>○</v>
      </c>
      <c r="I20" s="45">
        <f>配置表!T19</f>
        <v>0</v>
      </c>
      <c r="J20" s="33" t="str">
        <f>配置表!U19</f>
        <v>●</v>
      </c>
      <c r="K20" s="32">
        <f>配置表!V19</f>
        <v>0</v>
      </c>
      <c r="L20" s="33" t="str">
        <f>配置表!W19</f>
        <v>◎</v>
      </c>
      <c r="M20" s="32">
        <f>配置表!X19</f>
        <v>0</v>
      </c>
      <c r="N20" s="33" t="str">
        <f>配置表!Y19</f>
        <v>○</v>
      </c>
      <c r="O20" s="32">
        <f>配置表!Z19</f>
        <v>5</v>
      </c>
      <c r="P20" s="33" t="str">
        <f>配置表!AA19</f>
        <v>○</v>
      </c>
      <c r="Q20" s="227">
        <f>配置表!AB19</f>
        <v>0.41666666666666669</v>
      </c>
      <c r="R20" s="227">
        <f>配置表!AC19</f>
        <v>0.70833333333333337</v>
      </c>
      <c r="S20" s="238" t="str">
        <f>配置表!AD19</f>
        <v/>
      </c>
      <c r="T20" s="63"/>
      <c r="U20" s="152"/>
      <c r="V20" s="155"/>
      <c r="W20" s="155"/>
      <c r="X20" s="153"/>
      <c r="Y20" s="158"/>
      <c r="Z20" s="186"/>
      <c r="AA20" s="154">
        <f t="shared" si="0"/>
        <v>0</v>
      </c>
      <c r="AB20" s="182"/>
      <c r="AC20" s="183">
        <f t="shared" si="1"/>
        <v>0</v>
      </c>
    </row>
    <row r="21" spans="1:30" ht="13.5">
      <c r="A21" s="28" t="str">
        <f>配置表!L20</f>
        <v>閉</v>
      </c>
      <c r="B21" s="9">
        <f>配置表!M20</f>
        <v>45761</v>
      </c>
      <c r="C21" s="10" t="str">
        <f>配置表!N20</f>
        <v>月</v>
      </c>
      <c r="D21" s="62" t="str">
        <f>配置表!O20</f>
        <v>春　特別展</v>
      </c>
      <c r="E21" s="63" t="str">
        <f>配置表!P20</f>
        <v>テーマ展</v>
      </c>
      <c r="F21" s="44" t="str">
        <f>配置表!Q20</f>
        <v>休</v>
      </c>
      <c r="G21" s="32">
        <f>配置表!R20</f>
        <v>0</v>
      </c>
      <c r="H21" s="33" t="str">
        <f>配置表!S20</f>
        <v>休</v>
      </c>
      <c r="I21" s="32">
        <f>配置表!T20</f>
        <v>0</v>
      </c>
      <c r="J21" s="33" t="str">
        <f>配置表!U20</f>
        <v>休</v>
      </c>
      <c r="K21" s="32">
        <f>配置表!V20</f>
        <v>0</v>
      </c>
      <c r="L21" s="33" t="str">
        <f>配置表!W20</f>
        <v>休</v>
      </c>
      <c r="M21" s="32">
        <f>配置表!X20</f>
        <v>0</v>
      </c>
      <c r="N21" s="33" t="str">
        <f>配置表!Y20</f>
        <v>休</v>
      </c>
      <c r="O21" s="32" t="str">
        <f>配置表!Z20</f>
        <v/>
      </c>
      <c r="P21" s="33" t="str">
        <f>配置表!AA20</f>
        <v>休</v>
      </c>
      <c r="Q21" s="227" t="str">
        <f>配置表!AB20</f>
        <v/>
      </c>
      <c r="R21" s="227" t="str">
        <f>配置表!AC20</f>
        <v/>
      </c>
      <c r="S21" s="238" t="str">
        <f>配置表!AD20</f>
        <v/>
      </c>
      <c r="T21" s="63"/>
      <c r="U21" s="152"/>
      <c r="V21" s="155"/>
      <c r="W21" s="274"/>
      <c r="X21" s="275"/>
      <c r="Y21" s="158"/>
      <c r="Z21" s="182">
        <f>COUNTIF(P8:P38,V21)</f>
        <v>0</v>
      </c>
      <c r="AA21" s="154">
        <f t="shared" si="0"/>
        <v>0</v>
      </c>
      <c r="AB21" s="182"/>
      <c r="AC21" s="183">
        <f t="shared" si="1"/>
        <v>0</v>
      </c>
    </row>
    <row r="22" spans="1:30" ht="13.5">
      <c r="A22" s="28" t="str">
        <f>配置表!L21</f>
        <v/>
      </c>
      <c r="B22" s="9">
        <f>配置表!M21</f>
        <v>45762</v>
      </c>
      <c r="C22" s="10" t="str">
        <f>配置表!N21</f>
        <v>火</v>
      </c>
      <c r="D22" s="62" t="str">
        <f>配置表!O21</f>
        <v>春　特別展</v>
      </c>
      <c r="E22" s="63" t="str">
        <f>配置表!P21</f>
        <v>テーマ展</v>
      </c>
      <c r="F22" s="44" t="str">
        <f>配置表!Q21</f>
        <v>○</v>
      </c>
      <c r="G22" s="45">
        <f>配置表!R21</f>
        <v>0</v>
      </c>
      <c r="H22" s="10" t="str">
        <f>配置表!S21</f>
        <v/>
      </c>
      <c r="I22" s="45">
        <f>配置表!T21</f>
        <v>0</v>
      </c>
      <c r="J22" s="33" t="str">
        <f>配置表!U21</f>
        <v>●</v>
      </c>
      <c r="K22" s="32">
        <f>配置表!V21</f>
        <v>0</v>
      </c>
      <c r="L22" s="33" t="str">
        <f>配置表!W21</f>
        <v>○</v>
      </c>
      <c r="M22" s="32">
        <f>配置表!X21</f>
        <v>0</v>
      </c>
      <c r="N22" s="33" t="str">
        <f>配置表!Y21</f>
        <v>○</v>
      </c>
      <c r="O22" s="32">
        <f>配置表!Z21</f>
        <v>5</v>
      </c>
      <c r="P22" s="33" t="str">
        <f>配置表!AA21</f>
        <v>○</v>
      </c>
      <c r="Q22" s="227">
        <f>配置表!AB21</f>
        <v>0.41666666666666669</v>
      </c>
      <c r="R22" s="227">
        <f>配置表!AC21</f>
        <v>0.70833333333333337</v>
      </c>
      <c r="S22" s="238" t="str">
        <f>配置表!AD21</f>
        <v/>
      </c>
      <c r="T22" s="63"/>
      <c r="U22" s="152" t="s">
        <v>69</v>
      </c>
      <c r="V22" s="155" t="s">
        <v>66</v>
      </c>
      <c r="W22" s="274" t="s">
        <v>128</v>
      </c>
      <c r="X22" s="275">
        <v>7.5</v>
      </c>
      <c r="Y22" s="158">
        <v>5</v>
      </c>
      <c r="Z22" s="182">
        <f>COUNTIF(P8:P38,V22)</f>
        <v>26</v>
      </c>
      <c r="AA22" s="154">
        <f t="shared" si="0"/>
        <v>975</v>
      </c>
      <c r="AB22" s="182"/>
      <c r="AC22" s="183">
        <f t="shared" si="1"/>
        <v>0</v>
      </c>
    </row>
    <row r="23" spans="1:30" ht="13.5">
      <c r="A23" s="28" t="str">
        <f>配置表!L22</f>
        <v/>
      </c>
      <c r="B23" s="9">
        <f>配置表!M22</f>
        <v>45763</v>
      </c>
      <c r="C23" s="10" t="str">
        <f>配置表!N22</f>
        <v>水</v>
      </c>
      <c r="D23" s="62" t="str">
        <f>配置表!O22</f>
        <v>春　特別展</v>
      </c>
      <c r="E23" s="63" t="str">
        <f>配置表!P22</f>
        <v>テーマ展</v>
      </c>
      <c r="F23" s="44" t="str">
        <f>配置表!Q22</f>
        <v>○</v>
      </c>
      <c r="G23" s="45">
        <f>配置表!R22</f>
        <v>0</v>
      </c>
      <c r="H23" s="10" t="str">
        <f>配置表!S22</f>
        <v/>
      </c>
      <c r="I23" s="45">
        <f>配置表!T22</f>
        <v>0</v>
      </c>
      <c r="J23" s="33" t="str">
        <f>配置表!U22</f>
        <v>●</v>
      </c>
      <c r="K23" s="32">
        <f>配置表!V22</f>
        <v>0</v>
      </c>
      <c r="L23" s="33" t="str">
        <f>配置表!W22</f>
        <v>○</v>
      </c>
      <c r="M23" s="32">
        <f>配置表!X22</f>
        <v>0</v>
      </c>
      <c r="N23" s="33" t="str">
        <f>配置表!Y22</f>
        <v>○</v>
      </c>
      <c r="O23" s="32">
        <f>配置表!Z22</f>
        <v>5</v>
      </c>
      <c r="P23" s="33" t="str">
        <f>配置表!AA22</f>
        <v>○</v>
      </c>
      <c r="Q23" s="227">
        <f>配置表!AB22</f>
        <v>0.41666666666666669</v>
      </c>
      <c r="R23" s="227">
        <f>配置表!AC22</f>
        <v>0.70833333333333337</v>
      </c>
      <c r="S23" s="238" t="str">
        <f>配置表!AD22</f>
        <v/>
      </c>
      <c r="T23" s="63"/>
      <c r="U23" s="187" t="s">
        <v>69</v>
      </c>
      <c r="V23" s="155" t="s">
        <v>75</v>
      </c>
      <c r="W23" s="274" t="s">
        <v>128</v>
      </c>
      <c r="X23" s="275">
        <v>7.5</v>
      </c>
      <c r="Y23" s="158">
        <v>1</v>
      </c>
      <c r="Z23" s="186">
        <f>COUNTIF(P8:P38,V23)+Z24</f>
        <v>0</v>
      </c>
      <c r="AA23" s="154">
        <f t="shared" si="0"/>
        <v>0</v>
      </c>
      <c r="AB23" s="182"/>
      <c r="AC23" s="183">
        <f t="shared" si="1"/>
        <v>0</v>
      </c>
      <c r="AD23" s="1" t="s">
        <v>95</v>
      </c>
    </row>
    <row r="24" spans="1:30" ht="13.5">
      <c r="A24" s="28" t="str">
        <f>配置表!L23</f>
        <v/>
      </c>
      <c r="B24" s="9">
        <f>配置表!M23</f>
        <v>45764</v>
      </c>
      <c r="C24" s="10" t="str">
        <f>配置表!N23</f>
        <v>木</v>
      </c>
      <c r="D24" s="62" t="str">
        <f>配置表!O23</f>
        <v>春　特別展</v>
      </c>
      <c r="E24" s="63" t="str">
        <f>配置表!P23</f>
        <v>テーマ展</v>
      </c>
      <c r="F24" s="44" t="str">
        <f>配置表!Q23</f>
        <v>○</v>
      </c>
      <c r="G24" s="45">
        <f>配置表!R23</f>
        <v>0</v>
      </c>
      <c r="H24" s="10" t="str">
        <f>配置表!S23</f>
        <v/>
      </c>
      <c r="I24" s="45">
        <f>配置表!T23</f>
        <v>0</v>
      </c>
      <c r="J24" s="33" t="str">
        <f>配置表!U23</f>
        <v>●</v>
      </c>
      <c r="K24" s="32">
        <f>配置表!V23</f>
        <v>0</v>
      </c>
      <c r="L24" s="33" t="str">
        <f>配置表!W23</f>
        <v>○</v>
      </c>
      <c r="M24" s="32">
        <f>配置表!X23</f>
        <v>0</v>
      </c>
      <c r="N24" s="33" t="str">
        <f>配置表!Y23</f>
        <v>○</v>
      </c>
      <c r="O24" s="32">
        <f>配置表!Z23</f>
        <v>5</v>
      </c>
      <c r="P24" s="33" t="str">
        <f>配置表!AA23</f>
        <v>○</v>
      </c>
      <c r="Q24" s="227">
        <f>配置表!AB23</f>
        <v>0.41666666666666669</v>
      </c>
      <c r="R24" s="227">
        <f>配置表!AC23</f>
        <v>0.70833333333333337</v>
      </c>
      <c r="S24" s="238" t="str">
        <f>配置表!AD23</f>
        <v/>
      </c>
      <c r="T24" s="63"/>
      <c r="U24" s="152" t="s">
        <v>69</v>
      </c>
      <c r="V24" s="155" t="s">
        <v>93</v>
      </c>
      <c r="W24" s="155" t="s">
        <v>154</v>
      </c>
      <c r="X24" s="191">
        <v>2.75</v>
      </c>
      <c r="Y24" s="158">
        <v>4</v>
      </c>
      <c r="Z24" s="186">
        <f>COUNTIF(P8:P38,V24)</f>
        <v>0</v>
      </c>
      <c r="AA24" s="154">
        <f t="shared" si="0"/>
        <v>0</v>
      </c>
      <c r="AB24" s="182"/>
      <c r="AC24" s="183">
        <f t="shared" si="1"/>
        <v>0</v>
      </c>
    </row>
    <row r="25" spans="1:30" ht="13.5">
      <c r="A25" s="28" t="str">
        <f>配置表!L24</f>
        <v/>
      </c>
      <c r="B25" s="9">
        <f>配置表!M24</f>
        <v>45765</v>
      </c>
      <c r="C25" s="10" t="str">
        <f>配置表!N24</f>
        <v>金</v>
      </c>
      <c r="D25" s="62" t="str">
        <f>配置表!O24</f>
        <v>春　特別展</v>
      </c>
      <c r="E25" s="63" t="str">
        <f>配置表!P24</f>
        <v>テーマ展</v>
      </c>
      <c r="F25" s="44" t="str">
        <f>配置表!Q24</f>
        <v>○</v>
      </c>
      <c r="G25" s="45">
        <f>配置表!R24</f>
        <v>0</v>
      </c>
      <c r="H25" s="10" t="str">
        <f>配置表!S24</f>
        <v/>
      </c>
      <c r="I25" s="45">
        <f>配置表!T24</f>
        <v>0</v>
      </c>
      <c r="J25" s="33" t="str">
        <f>配置表!U24</f>
        <v>●</v>
      </c>
      <c r="K25" s="32">
        <f>配置表!V24</f>
        <v>0</v>
      </c>
      <c r="L25" s="33" t="str">
        <f>配置表!W24</f>
        <v>○</v>
      </c>
      <c r="M25" s="32">
        <f>配置表!X24</f>
        <v>0</v>
      </c>
      <c r="N25" s="33" t="str">
        <f>配置表!Y24</f>
        <v>○</v>
      </c>
      <c r="O25" s="32">
        <f>配置表!Z24</f>
        <v>5</v>
      </c>
      <c r="P25" s="33" t="str">
        <f>配置表!AA24</f>
        <v>○</v>
      </c>
      <c r="Q25" s="227">
        <f>配置表!AB24</f>
        <v>0.41666666666666669</v>
      </c>
      <c r="R25" s="227">
        <f>配置表!AC24</f>
        <v>0.70833333333333337</v>
      </c>
      <c r="S25" s="238" t="str">
        <f>配置表!AD24</f>
        <v/>
      </c>
      <c r="T25" s="63"/>
      <c r="U25" s="159" t="s">
        <v>64</v>
      </c>
      <c r="V25" s="160"/>
      <c r="W25" s="160"/>
      <c r="X25" s="188"/>
      <c r="Y25" s="188"/>
      <c r="Z25" s="189">
        <f>SUM(Z8:Z24)</f>
        <v>139</v>
      </c>
      <c r="AA25" s="190">
        <f>SUM(AA8:AA24)</f>
        <v>1748</v>
      </c>
      <c r="AB25" s="182"/>
      <c r="AC25" s="183">
        <f>SUM(AC8:AC24)</f>
        <v>0</v>
      </c>
    </row>
    <row r="26" spans="1:30" ht="14.25" thickBot="1">
      <c r="A26" s="28" t="str">
        <f>配置表!L25</f>
        <v/>
      </c>
      <c r="B26" s="9">
        <f>配置表!M25</f>
        <v>45766</v>
      </c>
      <c r="C26" s="10" t="str">
        <f>配置表!N25</f>
        <v>土</v>
      </c>
      <c r="D26" s="62" t="str">
        <f>配置表!O25</f>
        <v>春　特別展</v>
      </c>
      <c r="E26" s="63" t="str">
        <f>配置表!P25</f>
        <v>テーマ展</v>
      </c>
      <c r="F26" s="44" t="str">
        <f>配置表!Q25</f>
        <v>○</v>
      </c>
      <c r="G26" s="45">
        <f>配置表!R25</f>
        <v>0</v>
      </c>
      <c r="H26" s="10" t="str">
        <f>配置表!S25</f>
        <v>○</v>
      </c>
      <c r="I26" s="45">
        <f>配置表!T25</f>
        <v>0</v>
      </c>
      <c r="J26" s="33" t="str">
        <f>配置表!U25</f>
        <v>●</v>
      </c>
      <c r="K26" s="32">
        <f>配置表!V25</f>
        <v>0</v>
      </c>
      <c r="L26" s="33" t="str">
        <f>配置表!W25</f>
        <v>◎</v>
      </c>
      <c r="M26" s="32">
        <f>配置表!X25</f>
        <v>0</v>
      </c>
      <c r="N26" s="33" t="str">
        <f>配置表!Y25</f>
        <v>○</v>
      </c>
      <c r="O26" s="32">
        <f>配置表!Z25</f>
        <v>5</v>
      </c>
      <c r="P26" s="33" t="str">
        <f>配置表!AA25</f>
        <v>○</v>
      </c>
      <c r="Q26" s="227">
        <f>配置表!AB25</f>
        <v>0.41666666666666669</v>
      </c>
      <c r="R26" s="227">
        <f>配置表!AC25</f>
        <v>0.70833333333333337</v>
      </c>
      <c r="S26" s="238" t="str">
        <f>配置表!AD25</f>
        <v/>
      </c>
      <c r="T26" s="63"/>
      <c r="U26" s="178" t="s">
        <v>65</v>
      </c>
      <c r="V26" s="179"/>
      <c r="W26" s="179"/>
      <c r="X26" s="180"/>
      <c r="Y26" s="180"/>
      <c r="Z26" s="180"/>
      <c r="AA26" s="170"/>
      <c r="AB26" s="184"/>
      <c r="AC26" s="185">
        <f>ROUNDDOWN(AC25*1.1,0)</f>
        <v>0</v>
      </c>
    </row>
    <row r="27" spans="1:30">
      <c r="A27" s="28" t="str">
        <f>配置表!L26</f>
        <v/>
      </c>
      <c r="B27" s="9">
        <f>配置表!M26</f>
        <v>45767</v>
      </c>
      <c r="C27" s="10" t="str">
        <f>配置表!N26</f>
        <v>日</v>
      </c>
      <c r="D27" s="62" t="str">
        <f>配置表!O26</f>
        <v>春　特別展</v>
      </c>
      <c r="E27" s="63" t="str">
        <f>配置表!P26</f>
        <v>テーマ展</v>
      </c>
      <c r="F27" s="44" t="str">
        <f>配置表!Q26</f>
        <v>○</v>
      </c>
      <c r="G27" s="45">
        <f>配置表!R26</f>
        <v>0</v>
      </c>
      <c r="H27" s="10" t="str">
        <f>配置表!S26</f>
        <v>○</v>
      </c>
      <c r="I27" s="45">
        <f>配置表!T26</f>
        <v>0</v>
      </c>
      <c r="J27" s="33" t="str">
        <f>配置表!U26</f>
        <v>●</v>
      </c>
      <c r="K27" s="32">
        <f>配置表!V26</f>
        <v>0</v>
      </c>
      <c r="L27" s="33" t="str">
        <f>配置表!W26</f>
        <v>◎</v>
      </c>
      <c r="M27" s="32">
        <f>配置表!X26</f>
        <v>0</v>
      </c>
      <c r="N27" s="33" t="str">
        <f>配置表!Y26</f>
        <v>○</v>
      </c>
      <c r="O27" s="32">
        <f>配置表!Z26</f>
        <v>5</v>
      </c>
      <c r="P27" s="33" t="str">
        <f>配置表!AA26</f>
        <v>○</v>
      </c>
      <c r="Q27" s="227">
        <f>配置表!AB26</f>
        <v>0.41666666666666669</v>
      </c>
      <c r="R27" s="227">
        <f>配置表!AC26</f>
        <v>0.70833333333333337</v>
      </c>
      <c r="S27" s="238" t="str">
        <f>配置表!AD26</f>
        <v/>
      </c>
      <c r="T27" s="63"/>
    </row>
    <row r="28" spans="1:30">
      <c r="A28" s="28" t="str">
        <f>配置表!L27</f>
        <v>閉</v>
      </c>
      <c r="B28" s="9">
        <f>配置表!M27</f>
        <v>45768</v>
      </c>
      <c r="C28" s="10" t="str">
        <f>配置表!N27</f>
        <v>月</v>
      </c>
      <c r="D28" s="62" t="str">
        <f>配置表!O27</f>
        <v>春　特別展</v>
      </c>
      <c r="E28" s="63" t="str">
        <f>配置表!P27</f>
        <v>テーマ展</v>
      </c>
      <c r="F28" s="44" t="str">
        <f>配置表!Q27</f>
        <v>休</v>
      </c>
      <c r="G28" s="32">
        <f>配置表!R27</f>
        <v>0</v>
      </c>
      <c r="H28" s="33" t="str">
        <f>配置表!S27</f>
        <v>休</v>
      </c>
      <c r="I28" s="32">
        <f>配置表!T27</f>
        <v>0</v>
      </c>
      <c r="J28" s="33" t="str">
        <f>配置表!U27</f>
        <v>休</v>
      </c>
      <c r="K28" s="32">
        <f>配置表!V27</f>
        <v>0</v>
      </c>
      <c r="L28" s="33" t="str">
        <f>配置表!W27</f>
        <v>休</v>
      </c>
      <c r="M28" s="32">
        <f>配置表!X27</f>
        <v>0</v>
      </c>
      <c r="N28" s="33" t="str">
        <f>配置表!Y27</f>
        <v>休</v>
      </c>
      <c r="O28" s="32" t="str">
        <f>配置表!Z27</f>
        <v/>
      </c>
      <c r="P28" s="33" t="str">
        <f>配置表!AA27</f>
        <v>休</v>
      </c>
      <c r="Q28" s="227" t="str">
        <f>配置表!AB27</f>
        <v/>
      </c>
      <c r="R28" s="227" t="str">
        <f>配置表!AC27</f>
        <v/>
      </c>
      <c r="S28" s="238" t="str">
        <f>配置表!AD27</f>
        <v/>
      </c>
      <c r="T28" s="63"/>
    </row>
    <row r="29" spans="1:30">
      <c r="A29" s="28" t="str">
        <f>配置表!L28</f>
        <v/>
      </c>
      <c r="B29" s="9">
        <f>配置表!M28</f>
        <v>45769</v>
      </c>
      <c r="C29" s="10" t="str">
        <f>配置表!N28</f>
        <v>火</v>
      </c>
      <c r="D29" s="62" t="str">
        <f>配置表!O28</f>
        <v>春　特別展</v>
      </c>
      <c r="E29" s="63" t="str">
        <f>配置表!P28</f>
        <v>テーマ展</v>
      </c>
      <c r="F29" s="44" t="str">
        <f>配置表!Q28</f>
        <v>○</v>
      </c>
      <c r="G29" s="45">
        <f>配置表!R28</f>
        <v>0</v>
      </c>
      <c r="H29" s="10" t="str">
        <f>配置表!S28</f>
        <v/>
      </c>
      <c r="I29" s="45">
        <f>配置表!T28</f>
        <v>0</v>
      </c>
      <c r="J29" s="33" t="str">
        <f>配置表!U28</f>
        <v>●</v>
      </c>
      <c r="K29" s="32">
        <f>配置表!V28</f>
        <v>0</v>
      </c>
      <c r="L29" s="33" t="str">
        <f>配置表!W28</f>
        <v>○</v>
      </c>
      <c r="M29" s="32">
        <f>配置表!X28</f>
        <v>0</v>
      </c>
      <c r="N29" s="33" t="str">
        <f>配置表!Y28</f>
        <v>○</v>
      </c>
      <c r="O29" s="32">
        <f>配置表!Z28</f>
        <v>5</v>
      </c>
      <c r="P29" s="33" t="str">
        <f>配置表!AA28</f>
        <v>○</v>
      </c>
      <c r="Q29" s="227">
        <f>配置表!AB28</f>
        <v>0.41666666666666669</v>
      </c>
      <c r="R29" s="227">
        <f>配置表!AC28</f>
        <v>0.70833333333333337</v>
      </c>
      <c r="S29" s="238" t="str">
        <f>配置表!AD28</f>
        <v/>
      </c>
      <c r="T29" s="63"/>
      <c r="U29" s="4"/>
      <c r="V29" s="162"/>
      <c r="W29" s="162"/>
      <c r="X29" s="4"/>
      <c r="Y29" s="4"/>
      <c r="Z29" s="4"/>
      <c r="AA29" s="4"/>
      <c r="AB29" s="4"/>
      <c r="AC29" s="4"/>
    </row>
    <row r="30" spans="1:30">
      <c r="A30" s="28" t="str">
        <f>配置表!L29</f>
        <v/>
      </c>
      <c r="B30" s="9">
        <f>配置表!M29</f>
        <v>45770</v>
      </c>
      <c r="C30" s="10" t="str">
        <f>配置表!N29</f>
        <v>水</v>
      </c>
      <c r="D30" s="62" t="str">
        <f>配置表!O29</f>
        <v>春　特別展</v>
      </c>
      <c r="E30" s="63" t="str">
        <f>配置表!P29</f>
        <v>テーマ展</v>
      </c>
      <c r="F30" s="44" t="str">
        <f>配置表!Q29</f>
        <v>○</v>
      </c>
      <c r="G30" s="45">
        <f>配置表!R29</f>
        <v>0</v>
      </c>
      <c r="H30" s="10" t="str">
        <f>配置表!S29</f>
        <v/>
      </c>
      <c r="I30" s="45">
        <f>配置表!T29</f>
        <v>0</v>
      </c>
      <c r="J30" s="33" t="str">
        <f>配置表!U29</f>
        <v>●</v>
      </c>
      <c r="K30" s="32">
        <f>配置表!V29</f>
        <v>0</v>
      </c>
      <c r="L30" s="33" t="str">
        <f>配置表!W29</f>
        <v>○</v>
      </c>
      <c r="M30" s="32">
        <f>配置表!X29</f>
        <v>0</v>
      </c>
      <c r="N30" s="33" t="str">
        <f>配置表!Y29</f>
        <v>○</v>
      </c>
      <c r="O30" s="32">
        <f>配置表!Z29</f>
        <v>5</v>
      </c>
      <c r="P30" s="33" t="str">
        <f>配置表!AA29</f>
        <v>○</v>
      </c>
      <c r="Q30" s="227">
        <f>配置表!AB29</f>
        <v>0.41666666666666669</v>
      </c>
      <c r="R30" s="227">
        <f>配置表!AC29</f>
        <v>0.70833333333333337</v>
      </c>
      <c r="S30" s="238" t="str">
        <f>配置表!AD29</f>
        <v/>
      </c>
      <c r="T30" s="63"/>
      <c r="U30" s="4"/>
      <c r="V30" s="316"/>
      <c r="W30" s="316"/>
      <c r="X30" s="317"/>
      <c r="Y30" s="317"/>
      <c r="Z30" s="317"/>
      <c r="AA30" s="4"/>
      <c r="AB30" s="4"/>
      <c r="AC30" s="4"/>
    </row>
    <row r="31" spans="1:30" ht="13.5">
      <c r="A31" s="28" t="str">
        <f>配置表!L30</f>
        <v/>
      </c>
      <c r="B31" s="9">
        <f>配置表!M30</f>
        <v>45771</v>
      </c>
      <c r="C31" s="10" t="str">
        <f>配置表!N30</f>
        <v>木</v>
      </c>
      <c r="D31" s="62" t="str">
        <f>配置表!O30</f>
        <v>春　特別展</v>
      </c>
      <c r="E31" s="63" t="str">
        <f>配置表!P30</f>
        <v>テーマ展</v>
      </c>
      <c r="F31" s="44" t="str">
        <f>配置表!Q30</f>
        <v>○</v>
      </c>
      <c r="G31" s="45">
        <f>配置表!R30</f>
        <v>0</v>
      </c>
      <c r="H31" s="10" t="str">
        <f>配置表!S30</f>
        <v/>
      </c>
      <c r="I31" s="45">
        <f>配置表!T30</f>
        <v>0</v>
      </c>
      <c r="J31" s="33" t="str">
        <f>配置表!U30</f>
        <v>●</v>
      </c>
      <c r="K31" s="32">
        <f>配置表!V30</f>
        <v>0</v>
      </c>
      <c r="L31" s="33" t="str">
        <f>配置表!W30</f>
        <v>○</v>
      </c>
      <c r="M31" s="32">
        <f>配置表!X30</f>
        <v>0</v>
      </c>
      <c r="N31" s="33" t="str">
        <f>配置表!Y30</f>
        <v>○</v>
      </c>
      <c r="O31" s="32">
        <f>配置表!Z30</f>
        <v>5</v>
      </c>
      <c r="P31" s="33" t="str">
        <f>配置表!AA30</f>
        <v>○</v>
      </c>
      <c r="Q31" s="227">
        <f>配置表!AB30</f>
        <v>0.41666666666666669</v>
      </c>
      <c r="R31" s="227">
        <f>配置表!AC30</f>
        <v>0.70833333333333337</v>
      </c>
      <c r="S31" s="238" t="str">
        <f>配置表!AD30</f>
        <v/>
      </c>
      <c r="T31" s="63"/>
      <c r="U31" s="318"/>
      <c r="V31" s="318"/>
      <c r="W31" s="318"/>
      <c r="X31" s="318"/>
      <c r="Y31" s="318"/>
      <c r="Z31" s="318"/>
      <c r="AA31" s="318"/>
      <c r="AB31" s="318"/>
      <c r="AC31" s="318"/>
    </row>
    <row r="32" spans="1:30" ht="13.5">
      <c r="A32" s="28" t="str">
        <f>配置表!L31</f>
        <v/>
      </c>
      <c r="B32" s="9">
        <f>配置表!M31</f>
        <v>45772</v>
      </c>
      <c r="C32" s="10" t="str">
        <f>配置表!N31</f>
        <v>金</v>
      </c>
      <c r="D32" s="62" t="str">
        <f>配置表!O31</f>
        <v>春　特別展</v>
      </c>
      <c r="E32" s="63" t="str">
        <f>配置表!P31</f>
        <v>テーマ展</v>
      </c>
      <c r="F32" s="44" t="str">
        <f>配置表!Q31</f>
        <v>○</v>
      </c>
      <c r="G32" s="45">
        <f>配置表!R31</f>
        <v>0</v>
      </c>
      <c r="H32" s="10" t="str">
        <f>配置表!S31</f>
        <v/>
      </c>
      <c r="I32" s="45">
        <f>配置表!T31</f>
        <v>0</v>
      </c>
      <c r="J32" s="33" t="str">
        <f>配置表!U31</f>
        <v>●</v>
      </c>
      <c r="K32" s="32">
        <f>配置表!V31</f>
        <v>0</v>
      </c>
      <c r="L32" s="33" t="str">
        <f>配置表!W31</f>
        <v>○</v>
      </c>
      <c r="M32" s="32">
        <f>配置表!X31</f>
        <v>0</v>
      </c>
      <c r="N32" s="33" t="str">
        <f>配置表!Y31</f>
        <v>○</v>
      </c>
      <c r="O32" s="32">
        <f>配置表!Z31</f>
        <v>5</v>
      </c>
      <c r="P32" s="33" t="str">
        <f>配置表!AA31</f>
        <v>○</v>
      </c>
      <c r="Q32" s="227">
        <f>配置表!AB31</f>
        <v>0.41666666666666669</v>
      </c>
      <c r="R32" s="227">
        <f>配置表!AC31</f>
        <v>0.70833333333333337</v>
      </c>
      <c r="S32" s="238" t="str">
        <f>配置表!AD31</f>
        <v/>
      </c>
      <c r="T32" s="63"/>
      <c r="U32" s="39"/>
      <c r="V32" s="319"/>
      <c r="W32" s="319"/>
      <c r="X32" s="320"/>
      <c r="Y32" s="321"/>
      <c r="Z32" s="26"/>
      <c r="AA32" s="322"/>
      <c r="AB32" s="323"/>
      <c r="AC32" s="323"/>
    </row>
    <row r="33" spans="1:29" ht="13.5">
      <c r="A33" s="28" t="str">
        <f>配置表!L32</f>
        <v/>
      </c>
      <c r="B33" s="9">
        <f>配置表!M32</f>
        <v>45773</v>
      </c>
      <c r="C33" s="10" t="str">
        <f>配置表!N32</f>
        <v>土</v>
      </c>
      <c r="D33" s="62" t="str">
        <f>配置表!O32</f>
        <v>春　特別展</v>
      </c>
      <c r="E33" s="63" t="str">
        <f>配置表!P32</f>
        <v>テーマ展</v>
      </c>
      <c r="F33" s="44" t="str">
        <f>配置表!Q32</f>
        <v>○</v>
      </c>
      <c r="G33" s="45">
        <f>配置表!R32</f>
        <v>0</v>
      </c>
      <c r="H33" s="10" t="str">
        <f>配置表!S32</f>
        <v>○</v>
      </c>
      <c r="I33" s="45">
        <f>配置表!T32</f>
        <v>0</v>
      </c>
      <c r="J33" s="33" t="str">
        <f>配置表!U32</f>
        <v>●</v>
      </c>
      <c r="K33" s="32">
        <f>配置表!V32</f>
        <v>0</v>
      </c>
      <c r="L33" s="33" t="str">
        <f>配置表!W32</f>
        <v>◎</v>
      </c>
      <c r="M33" s="32">
        <f>配置表!X32</f>
        <v>0</v>
      </c>
      <c r="N33" s="33" t="str">
        <f>配置表!Y32</f>
        <v>○</v>
      </c>
      <c r="O33" s="32">
        <f>配置表!Z32</f>
        <v>5</v>
      </c>
      <c r="P33" s="33" t="str">
        <f>配置表!AA32</f>
        <v>○</v>
      </c>
      <c r="Q33" s="227">
        <f>配置表!AB32</f>
        <v>0.41666666666666669</v>
      </c>
      <c r="R33" s="227">
        <f>配置表!AC32</f>
        <v>0.70833333333333337</v>
      </c>
      <c r="S33" s="238" t="str">
        <f>配置表!AD32</f>
        <v/>
      </c>
      <c r="T33" s="63"/>
      <c r="U33" s="4"/>
      <c r="V33" s="162"/>
      <c r="W33" s="162"/>
      <c r="X33" s="4"/>
      <c r="Y33" s="4"/>
      <c r="Z33" s="4"/>
      <c r="AA33" s="4"/>
      <c r="AB33" s="324"/>
      <c r="AC33" s="325"/>
    </row>
    <row r="34" spans="1:29">
      <c r="A34" s="28" t="str">
        <f>配置表!L33</f>
        <v/>
      </c>
      <c r="B34" s="9">
        <f>配置表!M33</f>
        <v>45774</v>
      </c>
      <c r="C34" s="10" t="str">
        <f>配置表!N33</f>
        <v>日</v>
      </c>
      <c r="D34" s="62" t="str">
        <f>配置表!O33</f>
        <v>春　特別展</v>
      </c>
      <c r="E34" s="63" t="str">
        <f>配置表!P33</f>
        <v>テーマ展</v>
      </c>
      <c r="F34" s="44" t="str">
        <f>配置表!Q33</f>
        <v>○</v>
      </c>
      <c r="G34" s="45">
        <f>配置表!R33</f>
        <v>0</v>
      </c>
      <c r="H34" s="10" t="str">
        <f>配置表!S33</f>
        <v>○</v>
      </c>
      <c r="I34" s="45">
        <f>配置表!T33</f>
        <v>0</v>
      </c>
      <c r="J34" s="33" t="str">
        <f>配置表!U33</f>
        <v>●</v>
      </c>
      <c r="K34" s="32">
        <f>配置表!V33</f>
        <v>0</v>
      </c>
      <c r="L34" s="33" t="str">
        <f>配置表!W33</f>
        <v>◎</v>
      </c>
      <c r="M34" s="32">
        <f>配置表!X33</f>
        <v>0</v>
      </c>
      <c r="N34" s="33" t="str">
        <f>配置表!Y33</f>
        <v>○</v>
      </c>
      <c r="O34" s="32">
        <f>配置表!Z33</f>
        <v>5</v>
      </c>
      <c r="P34" s="33" t="str">
        <f>配置表!AA33</f>
        <v>○</v>
      </c>
      <c r="Q34" s="227">
        <f>配置表!AB33</f>
        <v>0.41666666666666669</v>
      </c>
      <c r="R34" s="227">
        <f>配置表!AC33</f>
        <v>0.70833333333333337</v>
      </c>
      <c r="S34" s="238" t="str">
        <f>配置表!AD33</f>
        <v/>
      </c>
      <c r="T34" s="63"/>
      <c r="U34" s="4"/>
      <c r="V34" s="162"/>
      <c r="W34" s="162"/>
      <c r="X34" s="4"/>
      <c r="Y34" s="4"/>
      <c r="Z34" s="4"/>
      <c r="AA34" s="4"/>
      <c r="AB34" s="4"/>
      <c r="AC34" s="4"/>
    </row>
    <row r="35" spans="1:29">
      <c r="A35" s="28" t="str">
        <f>配置表!L34</f>
        <v>閉</v>
      </c>
      <c r="B35" s="9">
        <f>配置表!M34</f>
        <v>45775</v>
      </c>
      <c r="C35" s="10" t="str">
        <f>配置表!N34</f>
        <v>月</v>
      </c>
      <c r="D35" s="62" t="str">
        <f>配置表!O34</f>
        <v>春　特別展</v>
      </c>
      <c r="E35" s="63" t="str">
        <f>配置表!P34</f>
        <v>テーマ展</v>
      </c>
      <c r="F35" s="44" t="str">
        <f>配置表!Q34</f>
        <v>休</v>
      </c>
      <c r="G35" s="45">
        <f>配置表!R34</f>
        <v>0</v>
      </c>
      <c r="H35" s="10" t="str">
        <f>配置表!S34</f>
        <v>休</v>
      </c>
      <c r="I35" s="45">
        <f>配置表!T34</f>
        <v>0</v>
      </c>
      <c r="J35" s="33" t="str">
        <f>配置表!U34</f>
        <v>休</v>
      </c>
      <c r="K35" s="32">
        <f>配置表!V34</f>
        <v>0</v>
      </c>
      <c r="L35" s="33" t="str">
        <f>配置表!W34</f>
        <v>休</v>
      </c>
      <c r="M35" s="32">
        <f>配置表!X34</f>
        <v>0</v>
      </c>
      <c r="N35" s="33" t="str">
        <f>配置表!Y34</f>
        <v>休</v>
      </c>
      <c r="O35" s="32" t="str">
        <f>配置表!Z34</f>
        <v/>
      </c>
      <c r="P35" s="33" t="str">
        <f>配置表!AA34</f>
        <v>休</v>
      </c>
      <c r="Q35" s="227" t="str">
        <f>配置表!AB34</f>
        <v/>
      </c>
      <c r="R35" s="227" t="str">
        <f>配置表!AC34</f>
        <v/>
      </c>
      <c r="S35" s="238" t="str">
        <f>配置表!AD34</f>
        <v/>
      </c>
      <c r="T35" s="63"/>
      <c r="U35" s="4"/>
      <c r="V35" s="162"/>
      <c r="W35" s="162"/>
      <c r="X35" s="4"/>
      <c r="Y35" s="4"/>
      <c r="Z35" s="4"/>
      <c r="AA35" s="4"/>
      <c r="AB35" s="4"/>
      <c r="AC35" s="4"/>
    </row>
    <row r="36" spans="1:29">
      <c r="A36" s="28" t="str">
        <f>配置表!L35</f>
        <v/>
      </c>
      <c r="B36" s="9">
        <f>配置表!M35</f>
        <v>45776</v>
      </c>
      <c r="C36" s="10" t="str">
        <f>配置表!N35</f>
        <v>火</v>
      </c>
      <c r="D36" s="62" t="str">
        <f>配置表!O35</f>
        <v>春　特別展</v>
      </c>
      <c r="E36" s="63" t="str">
        <f>配置表!P35</f>
        <v>テーマ展</v>
      </c>
      <c r="F36" s="44" t="str">
        <f>配置表!Q35</f>
        <v>○</v>
      </c>
      <c r="G36" s="45">
        <f>配置表!R35</f>
        <v>0</v>
      </c>
      <c r="H36" s="10" t="str">
        <f>配置表!S35</f>
        <v>○</v>
      </c>
      <c r="I36" s="45">
        <f>配置表!T35</f>
        <v>0</v>
      </c>
      <c r="J36" s="33" t="str">
        <f>配置表!U35</f>
        <v>●</v>
      </c>
      <c r="K36" s="32">
        <f>配置表!V35</f>
        <v>0</v>
      </c>
      <c r="L36" s="33" t="str">
        <f>配置表!W35</f>
        <v>◎</v>
      </c>
      <c r="M36" s="32">
        <f>配置表!X35</f>
        <v>0</v>
      </c>
      <c r="N36" s="33" t="str">
        <f>配置表!Y35</f>
        <v>○</v>
      </c>
      <c r="O36" s="32">
        <f>配置表!Z35</f>
        <v>5</v>
      </c>
      <c r="P36" s="33" t="str">
        <f>配置表!AA35</f>
        <v>○</v>
      </c>
      <c r="Q36" s="227">
        <f>配置表!AB35</f>
        <v>0.41666666666666669</v>
      </c>
      <c r="R36" s="227">
        <f>配置表!AC35</f>
        <v>0.70833333333333337</v>
      </c>
      <c r="S36" s="238" t="str">
        <f>配置表!AD35</f>
        <v>昭和の日</v>
      </c>
      <c r="T36" s="63"/>
    </row>
    <row r="37" spans="1:29">
      <c r="A37" s="28" t="str">
        <f>配置表!L36</f>
        <v/>
      </c>
      <c r="B37" s="9">
        <f>配置表!M36</f>
        <v>45777</v>
      </c>
      <c r="C37" s="10" t="str">
        <f>配置表!N36</f>
        <v>水</v>
      </c>
      <c r="D37" s="62" t="str">
        <f>配置表!O36</f>
        <v>春　特別展</v>
      </c>
      <c r="E37" s="63" t="str">
        <f>配置表!P36</f>
        <v>テーマ展</v>
      </c>
      <c r="F37" s="44" t="str">
        <f>配置表!Q36</f>
        <v>○</v>
      </c>
      <c r="G37" s="45">
        <f>配置表!R36</f>
        <v>0</v>
      </c>
      <c r="H37" s="10" t="str">
        <f>配置表!S36</f>
        <v/>
      </c>
      <c r="I37" s="45">
        <f>配置表!T36</f>
        <v>0</v>
      </c>
      <c r="J37" s="33" t="str">
        <f>配置表!U36</f>
        <v>●</v>
      </c>
      <c r="K37" s="32">
        <f>配置表!V36</f>
        <v>0</v>
      </c>
      <c r="L37" s="33" t="str">
        <f>配置表!W36</f>
        <v>○</v>
      </c>
      <c r="M37" s="32">
        <f>配置表!X36</f>
        <v>0</v>
      </c>
      <c r="N37" s="33" t="str">
        <f>配置表!Y36</f>
        <v>○</v>
      </c>
      <c r="O37" s="32">
        <f>配置表!Z36</f>
        <v>5</v>
      </c>
      <c r="P37" s="33" t="str">
        <f>配置表!AA36</f>
        <v>○</v>
      </c>
      <c r="Q37" s="227">
        <f>配置表!AB36</f>
        <v>0.41666666666666669</v>
      </c>
      <c r="R37" s="227">
        <f>配置表!AC36</f>
        <v>0.70833333333333337</v>
      </c>
      <c r="S37" s="238" t="str">
        <f>配置表!AD36</f>
        <v/>
      </c>
      <c r="T37" s="63"/>
    </row>
    <row r="38" spans="1:29" ht="12" thickBot="1">
      <c r="A38" s="28"/>
      <c r="B38" s="29"/>
      <c r="C38" s="22"/>
      <c r="D38" s="64"/>
      <c r="E38" s="65"/>
      <c r="F38" s="40" t="s">
        <v>2</v>
      </c>
      <c r="G38" s="41"/>
      <c r="H38" s="22"/>
      <c r="I38" s="41"/>
      <c r="J38" s="34"/>
      <c r="K38" s="23"/>
      <c r="L38" s="34"/>
      <c r="M38" s="23"/>
      <c r="N38" s="34" t="s">
        <v>2</v>
      </c>
      <c r="O38" s="23"/>
      <c r="P38" s="34" t="s">
        <v>2</v>
      </c>
      <c r="Q38" s="239" t="str">
        <f>IF(ISERROR(VLOOKUP(B38,データ!$A$3:$C$19,2,FALSE)),"",VLOOKUP(B38,データ!$A$3:$C$19,2,FALSE))</f>
        <v/>
      </c>
      <c r="R38" s="239"/>
      <c r="S38" s="239"/>
      <c r="T38" s="63"/>
    </row>
    <row r="39" spans="1:29" ht="14.25" thickBot="1">
      <c r="A39" s="28"/>
      <c r="B39" s="57"/>
      <c r="C39" s="50"/>
      <c r="D39" s="50"/>
      <c r="E39" s="50"/>
      <c r="F39" s="305">
        <f>COUNTIFS(F8:F38,"●")+COUNTIFS(F8:F38,"○")</f>
        <v>26</v>
      </c>
      <c r="G39" s="24"/>
      <c r="H39" s="24"/>
      <c r="I39" s="24"/>
      <c r="J39" s="24"/>
      <c r="K39" s="30"/>
      <c r="L39" s="24"/>
      <c r="M39" s="30"/>
      <c r="N39" s="24"/>
      <c r="O39" s="30"/>
      <c r="P39" s="24"/>
      <c r="Q39" s="63" t="str">
        <f>IF(ISERROR(VLOOKUP(B39,データ!$A$3:$C$19,2,FALSE)),"",VLOOKUP(B39,データ!$A$3:$C$19,2,FALSE))</f>
        <v/>
      </c>
      <c r="R39" s="63"/>
      <c r="S39" s="63"/>
      <c r="T39" s="63"/>
    </row>
    <row r="40" spans="1:29" customFormat="1" ht="27.75" customHeight="1" thickBot="1">
      <c r="A40" s="28"/>
      <c r="B40" s="58"/>
      <c r="C40" s="59"/>
      <c r="D40" s="42" t="s">
        <v>5</v>
      </c>
      <c r="E40" s="60" t="s">
        <v>6</v>
      </c>
      <c r="F40" s="49" t="s">
        <v>8</v>
      </c>
      <c r="G40" s="354" t="s">
        <v>13</v>
      </c>
      <c r="H40" s="355"/>
      <c r="I40" s="354" t="s">
        <v>14</v>
      </c>
      <c r="J40" s="355"/>
      <c r="K40" s="354" t="s">
        <v>9</v>
      </c>
      <c r="L40" s="355"/>
      <c r="M40" s="354" t="s">
        <v>10</v>
      </c>
      <c r="N40" s="355"/>
      <c r="O40" s="354" t="s">
        <v>1</v>
      </c>
      <c r="P40" s="355"/>
      <c r="Q40" s="38" t="s">
        <v>114</v>
      </c>
      <c r="R40" s="38" t="s">
        <v>35</v>
      </c>
      <c r="S40" s="38" t="s">
        <v>116</v>
      </c>
      <c r="T40" s="63"/>
      <c r="U40" s="149" t="s">
        <v>73</v>
      </c>
      <c r="V40" s="156"/>
      <c r="W40" s="156" t="s">
        <v>74</v>
      </c>
      <c r="X40" s="175" t="s">
        <v>60</v>
      </c>
      <c r="Y40" s="175" t="s">
        <v>70</v>
      </c>
      <c r="Z40" s="150" t="s">
        <v>71</v>
      </c>
      <c r="AA40" s="150" t="s">
        <v>61</v>
      </c>
      <c r="AB40" s="150" t="s">
        <v>62</v>
      </c>
      <c r="AC40" s="151" t="s">
        <v>63</v>
      </c>
    </row>
    <row r="41" spans="1:29" ht="13.5">
      <c r="A41" s="28" t="str">
        <f>配置表!L40</f>
        <v/>
      </c>
      <c r="B41" s="25">
        <f>配置表!M40</f>
        <v>45778</v>
      </c>
      <c r="C41" s="24" t="str">
        <f>配置表!N40</f>
        <v>木</v>
      </c>
      <c r="D41" s="62" t="str">
        <f>配置表!O40</f>
        <v>春　特別展</v>
      </c>
      <c r="E41" s="66" t="str">
        <f>配置表!P40</f>
        <v>テーマ展</v>
      </c>
      <c r="F41" s="44" t="str">
        <f>配置表!Q40</f>
        <v>○</v>
      </c>
      <c r="G41" s="45">
        <f>配置表!R40</f>
        <v>0</v>
      </c>
      <c r="H41" s="10" t="str">
        <f>配置表!S40</f>
        <v/>
      </c>
      <c r="I41" s="46">
        <f>配置表!T40</f>
        <v>0</v>
      </c>
      <c r="J41" s="10" t="str">
        <f>配置表!U40</f>
        <v>●</v>
      </c>
      <c r="K41" s="36">
        <f>配置表!V40</f>
        <v>0</v>
      </c>
      <c r="L41" s="33" t="str">
        <f>配置表!W40</f>
        <v>○</v>
      </c>
      <c r="M41" s="26">
        <f>配置表!X40</f>
        <v>0</v>
      </c>
      <c r="N41" s="33" t="str">
        <f>配置表!Y40</f>
        <v>○</v>
      </c>
      <c r="O41" s="8">
        <f>配置表!Z40</f>
        <v>5</v>
      </c>
      <c r="P41" s="33" t="str">
        <f>配置表!AA40</f>
        <v>○</v>
      </c>
      <c r="Q41" s="232">
        <f>配置表!AB40</f>
        <v>0.41666666666666669</v>
      </c>
      <c r="R41" s="232">
        <f>配置表!AC40</f>
        <v>0.70833333333333337</v>
      </c>
      <c r="S41" s="237" t="str">
        <f>配置表!AD40</f>
        <v/>
      </c>
      <c r="T41" s="63"/>
      <c r="U41" s="173" t="s">
        <v>88</v>
      </c>
      <c r="V41" s="156"/>
      <c r="W41" s="156"/>
      <c r="X41" s="176"/>
      <c r="Y41" s="177"/>
      <c r="Z41" s="181">
        <f>COUNTIF(F41:F71,V41)</f>
        <v>0</v>
      </c>
      <c r="AA41" s="174">
        <f>X41*Y41*Z41</f>
        <v>0</v>
      </c>
      <c r="AB41" s="181"/>
      <c r="AC41" s="315">
        <f>SUM(AA41*AB41)</f>
        <v>0</v>
      </c>
    </row>
    <row r="42" spans="1:29" customFormat="1" ht="13.5">
      <c r="A42" s="28" t="str">
        <f>配置表!L41</f>
        <v/>
      </c>
      <c r="B42" s="9">
        <f>配置表!M41</f>
        <v>45779</v>
      </c>
      <c r="C42" s="10" t="str">
        <f>配置表!N41</f>
        <v>金</v>
      </c>
      <c r="D42" s="62" t="str">
        <f>配置表!O41</f>
        <v>春　特別展</v>
      </c>
      <c r="E42" s="67" t="str">
        <f>配置表!P41</f>
        <v>テーマ展</v>
      </c>
      <c r="F42" s="44" t="str">
        <f>配置表!Q41</f>
        <v>○</v>
      </c>
      <c r="G42" s="45">
        <f>配置表!R41</f>
        <v>0</v>
      </c>
      <c r="H42" s="10" t="str">
        <f>配置表!S41</f>
        <v/>
      </c>
      <c r="I42" s="45">
        <f>配置表!T41</f>
        <v>0</v>
      </c>
      <c r="J42" s="10" t="str">
        <f>配置表!U41</f>
        <v>●</v>
      </c>
      <c r="K42" s="36">
        <f>配置表!V41</f>
        <v>0</v>
      </c>
      <c r="L42" s="33" t="str">
        <f>配置表!W41</f>
        <v>○</v>
      </c>
      <c r="M42" s="26">
        <f>配置表!X41</f>
        <v>0</v>
      </c>
      <c r="N42" s="33" t="str">
        <f>配置表!Y41</f>
        <v>○</v>
      </c>
      <c r="O42" s="8">
        <f>配置表!Z41</f>
        <v>5</v>
      </c>
      <c r="P42" s="33" t="str">
        <f>配置表!AA41</f>
        <v>○</v>
      </c>
      <c r="Q42" s="227">
        <f>配置表!AB41</f>
        <v>0.41666666666666669</v>
      </c>
      <c r="R42" s="227">
        <f>配置表!AC41</f>
        <v>0.70833333333333337</v>
      </c>
      <c r="S42" s="238" t="str">
        <f>配置表!AD41</f>
        <v/>
      </c>
      <c r="T42" s="63"/>
      <c r="U42" s="152" t="s">
        <v>88</v>
      </c>
      <c r="V42" s="155" t="s">
        <v>66</v>
      </c>
      <c r="W42" s="274" t="s">
        <v>126</v>
      </c>
      <c r="X42" s="275">
        <v>8.5</v>
      </c>
      <c r="Y42" s="158">
        <v>1</v>
      </c>
      <c r="Z42" s="182">
        <f>COUNTIF(F41:F71,V42)</f>
        <v>27</v>
      </c>
      <c r="AA42" s="154">
        <f t="shared" ref="AA42:AA57" si="2">X42*Y42*Z42</f>
        <v>229.5</v>
      </c>
      <c r="AB42" s="182">
        <f>AB$9</f>
        <v>0</v>
      </c>
      <c r="AC42" s="183">
        <f>SUM(AA42*AB42)</f>
        <v>0</v>
      </c>
    </row>
    <row r="43" spans="1:29" customFormat="1" ht="13.5">
      <c r="A43" s="28" t="str">
        <f>配置表!L42</f>
        <v/>
      </c>
      <c r="B43" s="9">
        <f>配置表!M42</f>
        <v>45780</v>
      </c>
      <c r="C43" s="10" t="str">
        <f>配置表!N42</f>
        <v>土</v>
      </c>
      <c r="D43" s="62" t="str">
        <f>配置表!O42</f>
        <v>春　特別展</v>
      </c>
      <c r="E43" s="67" t="str">
        <f>配置表!P42</f>
        <v>テーマ展</v>
      </c>
      <c r="F43" s="44" t="str">
        <f>配置表!Q42</f>
        <v>○</v>
      </c>
      <c r="G43" s="45">
        <f>配置表!R42</f>
        <v>0</v>
      </c>
      <c r="H43" s="10" t="str">
        <f>配置表!S42</f>
        <v>○</v>
      </c>
      <c r="I43" s="45">
        <f>配置表!T42</f>
        <v>0</v>
      </c>
      <c r="J43" s="10" t="str">
        <f>配置表!U42</f>
        <v>●</v>
      </c>
      <c r="K43" s="36">
        <f>配置表!V42</f>
        <v>0</v>
      </c>
      <c r="L43" s="33" t="str">
        <f>配置表!W42</f>
        <v>◎</v>
      </c>
      <c r="M43" s="26">
        <f>配置表!X42</f>
        <v>0</v>
      </c>
      <c r="N43" s="33" t="str">
        <f>配置表!Y42</f>
        <v>○</v>
      </c>
      <c r="O43" s="8">
        <f>配置表!Z42</f>
        <v>5</v>
      </c>
      <c r="P43" s="33" t="str">
        <f>配置表!AA42</f>
        <v>○</v>
      </c>
      <c r="Q43" s="227">
        <f>配置表!AB42</f>
        <v>0.41666666666666669</v>
      </c>
      <c r="R43" s="227">
        <f>配置表!AC42</f>
        <v>0.70833333333333337</v>
      </c>
      <c r="S43" s="238" t="str">
        <f>配置表!AD42</f>
        <v>憲法記念日</v>
      </c>
      <c r="T43" s="63"/>
      <c r="U43" s="152" t="s">
        <v>89</v>
      </c>
      <c r="V43" s="155" t="s">
        <v>66</v>
      </c>
      <c r="W43" s="155" t="s">
        <v>141</v>
      </c>
      <c r="X43" s="191">
        <v>5.25</v>
      </c>
      <c r="Y43" s="158">
        <v>1</v>
      </c>
      <c r="Z43" s="182">
        <f>COUNTIF(H41:H71,V43)</f>
        <v>10</v>
      </c>
      <c r="AA43" s="154">
        <f t="shared" si="2"/>
        <v>52.5</v>
      </c>
      <c r="AB43" s="182">
        <f>AB$10</f>
        <v>0</v>
      </c>
      <c r="AC43" s="183">
        <f t="shared" ref="AC43:AC57" si="3">SUM(AA43*AB43)</f>
        <v>0</v>
      </c>
    </row>
    <row r="44" spans="1:29" customFormat="1" ht="13.5">
      <c r="A44" s="28" t="str">
        <f>配置表!L43</f>
        <v/>
      </c>
      <c r="B44" s="9">
        <f>配置表!M43</f>
        <v>45781</v>
      </c>
      <c r="C44" s="10" t="str">
        <f>配置表!N43</f>
        <v>日</v>
      </c>
      <c r="D44" s="62" t="str">
        <f>配置表!O43</f>
        <v>春　特別展</v>
      </c>
      <c r="E44" s="67" t="str">
        <f>配置表!P43</f>
        <v>テーマ展</v>
      </c>
      <c r="F44" s="44" t="str">
        <f>配置表!Q43</f>
        <v>○</v>
      </c>
      <c r="G44" s="45">
        <f>配置表!R43</f>
        <v>0</v>
      </c>
      <c r="H44" s="10" t="str">
        <f>配置表!S43</f>
        <v>○</v>
      </c>
      <c r="I44" s="45">
        <f>配置表!T43</f>
        <v>0</v>
      </c>
      <c r="J44" s="10" t="str">
        <f>配置表!U43</f>
        <v>●</v>
      </c>
      <c r="K44" s="36">
        <f>配置表!V43</f>
        <v>0</v>
      </c>
      <c r="L44" s="33" t="str">
        <f>配置表!W43</f>
        <v>◎</v>
      </c>
      <c r="M44" s="26">
        <f>配置表!X43</f>
        <v>0</v>
      </c>
      <c r="N44" s="33" t="str">
        <f>配置表!Y43</f>
        <v>○</v>
      </c>
      <c r="O44" s="8">
        <f>配置表!Z43</f>
        <v>5</v>
      </c>
      <c r="P44" s="33" t="str">
        <f>配置表!AA43</f>
        <v>○</v>
      </c>
      <c r="Q44" s="227">
        <f>配置表!AB43</f>
        <v>0.41666666666666669</v>
      </c>
      <c r="R44" s="227">
        <f>配置表!AC43</f>
        <v>0.70833333333333337</v>
      </c>
      <c r="S44" s="238" t="str">
        <f>配置表!AD43</f>
        <v>みどりの日</v>
      </c>
      <c r="T44" s="63"/>
      <c r="U44" s="152"/>
      <c r="V44" s="155"/>
      <c r="W44" s="155"/>
      <c r="X44" s="153"/>
      <c r="Y44" s="158"/>
      <c r="Z44" s="182">
        <f>COUNTIF(H41:H71,V44)</f>
        <v>0</v>
      </c>
      <c r="AA44" s="154">
        <f t="shared" si="2"/>
        <v>0</v>
      </c>
      <c r="AB44" s="182"/>
      <c r="AC44" s="183">
        <f t="shared" si="3"/>
        <v>0</v>
      </c>
    </row>
    <row r="45" spans="1:29" customFormat="1" ht="13.5">
      <c r="A45" s="28" t="str">
        <f>配置表!L44</f>
        <v/>
      </c>
      <c r="B45" s="9">
        <f>配置表!M44</f>
        <v>45782</v>
      </c>
      <c r="C45" s="10" t="str">
        <f>配置表!N44</f>
        <v>月</v>
      </c>
      <c r="D45" s="62" t="str">
        <f>配置表!O44</f>
        <v>春　特別展</v>
      </c>
      <c r="E45" s="67" t="str">
        <f>配置表!P44</f>
        <v>テーマ展</v>
      </c>
      <c r="F45" s="44" t="str">
        <f>配置表!Q44</f>
        <v>○</v>
      </c>
      <c r="G45" s="45">
        <f>配置表!R44</f>
        <v>0</v>
      </c>
      <c r="H45" s="10" t="str">
        <f>配置表!S44</f>
        <v>○</v>
      </c>
      <c r="I45" s="45">
        <f>配置表!T44</f>
        <v>0</v>
      </c>
      <c r="J45" s="10" t="str">
        <f>配置表!U44</f>
        <v>●</v>
      </c>
      <c r="K45" s="36">
        <f>配置表!V44</f>
        <v>0</v>
      </c>
      <c r="L45" s="33" t="str">
        <f>配置表!W44</f>
        <v>◎</v>
      </c>
      <c r="M45" s="26">
        <f>配置表!X44</f>
        <v>0</v>
      </c>
      <c r="N45" s="33" t="str">
        <f>配置表!Y44</f>
        <v>○</v>
      </c>
      <c r="O45" s="8">
        <f>配置表!Z44</f>
        <v>5</v>
      </c>
      <c r="P45" s="33" t="str">
        <f>配置表!AA44</f>
        <v>○</v>
      </c>
      <c r="Q45" s="227">
        <f>配置表!AB44</f>
        <v>0.41666666666666669</v>
      </c>
      <c r="R45" s="227">
        <f>配置表!AC44</f>
        <v>0.70833333333333337</v>
      </c>
      <c r="S45" s="238" t="str">
        <f>配置表!AD44</f>
        <v>こどもの日</v>
      </c>
      <c r="T45" s="63"/>
      <c r="U45" s="152"/>
      <c r="V45" s="155"/>
      <c r="W45" s="155"/>
      <c r="X45" s="153"/>
      <c r="Y45" s="158"/>
      <c r="Z45" s="182">
        <f>COUNTIF(H41:H71,V45)</f>
        <v>0</v>
      </c>
      <c r="AA45" s="154">
        <f t="shared" si="2"/>
        <v>0</v>
      </c>
      <c r="AB45" s="182"/>
      <c r="AC45" s="183">
        <f t="shared" si="3"/>
        <v>0</v>
      </c>
    </row>
    <row r="46" spans="1:29" customFormat="1" ht="13.5">
      <c r="A46" s="28" t="str">
        <f>配置表!L45</f>
        <v/>
      </c>
      <c r="B46" s="9">
        <f>配置表!M45</f>
        <v>45783</v>
      </c>
      <c r="C46" s="10" t="str">
        <f>配置表!N45</f>
        <v>火</v>
      </c>
      <c r="D46" s="62" t="str">
        <f>配置表!O45</f>
        <v>春　特別展</v>
      </c>
      <c r="E46" s="67" t="str">
        <f>配置表!P45</f>
        <v>テーマ展</v>
      </c>
      <c r="F46" s="44" t="str">
        <f>配置表!Q45</f>
        <v>○</v>
      </c>
      <c r="G46" s="45">
        <f>配置表!R45</f>
        <v>0</v>
      </c>
      <c r="H46" s="10" t="str">
        <f>配置表!S45</f>
        <v>○</v>
      </c>
      <c r="I46" s="45">
        <f>配置表!T45</f>
        <v>0</v>
      </c>
      <c r="J46" s="10" t="str">
        <f>配置表!U45</f>
        <v>●</v>
      </c>
      <c r="K46" s="36">
        <f>配置表!V45</f>
        <v>0</v>
      </c>
      <c r="L46" s="33" t="str">
        <f>配置表!W45</f>
        <v>◎</v>
      </c>
      <c r="M46" s="26">
        <f>配置表!X45</f>
        <v>0</v>
      </c>
      <c r="N46" s="33" t="str">
        <f>配置表!Y45</f>
        <v>○</v>
      </c>
      <c r="O46" s="8">
        <f>配置表!Z45</f>
        <v>5</v>
      </c>
      <c r="P46" s="33" t="str">
        <f>配置表!AA45</f>
        <v>○</v>
      </c>
      <c r="Q46" s="227">
        <f>配置表!AB45</f>
        <v>0.41666666666666669</v>
      </c>
      <c r="R46" s="227">
        <f>配置表!AC45</f>
        <v>0.70833333333333337</v>
      </c>
      <c r="S46" s="238" t="str">
        <f>配置表!AD45</f>
        <v>振替休日</v>
      </c>
      <c r="T46" s="63"/>
      <c r="U46" s="152" t="s">
        <v>90</v>
      </c>
      <c r="V46" s="155" t="s">
        <v>46</v>
      </c>
      <c r="W46" s="155" t="s">
        <v>142</v>
      </c>
      <c r="X46" s="191">
        <v>6.75</v>
      </c>
      <c r="Y46" s="158">
        <v>1</v>
      </c>
      <c r="Z46" s="182">
        <f>COUNTIF(J41:J71,V46)</f>
        <v>27</v>
      </c>
      <c r="AA46" s="154">
        <f t="shared" si="2"/>
        <v>182.25</v>
      </c>
      <c r="AB46" s="182">
        <f>AB$13</f>
        <v>0</v>
      </c>
      <c r="AC46" s="183">
        <f t="shared" si="3"/>
        <v>0</v>
      </c>
    </row>
    <row r="47" spans="1:29" customFormat="1" ht="13.5">
      <c r="A47" s="28" t="str">
        <f>配置表!L46</f>
        <v>閉</v>
      </c>
      <c r="B47" s="9">
        <f>配置表!M46</f>
        <v>45784</v>
      </c>
      <c r="C47" s="10" t="str">
        <f>配置表!N46</f>
        <v>水</v>
      </c>
      <c r="D47" s="62" t="str">
        <f>配置表!O46</f>
        <v>春　特別展</v>
      </c>
      <c r="E47" s="67" t="str">
        <f>配置表!P46</f>
        <v>テーマ展</v>
      </c>
      <c r="F47" s="44" t="str">
        <f>配置表!Q46</f>
        <v>休</v>
      </c>
      <c r="G47" s="26">
        <f>配置表!R46</f>
        <v>0</v>
      </c>
      <c r="H47" s="33" t="str">
        <f>配置表!S46</f>
        <v>休</v>
      </c>
      <c r="I47" s="26">
        <f>配置表!T46</f>
        <v>0</v>
      </c>
      <c r="J47" s="33" t="str">
        <f>配置表!U46</f>
        <v>休</v>
      </c>
      <c r="K47" s="26">
        <f>配置表!V46</f>
        <v>0</v>
      </c>
      <c r="L47" s="33" t="str">
        <f>配置表!W46</f>
        <v>休</v>
      </c>
      <c r="M47" s="26">
        <f>配置表!X46</f>
        <v>0</v>
      </c>
      <c r="N47" s="33" t="str">
        <f>配置表!Y46</f>
        <v>休</v>
      </c>
      <c r="O47" s="8" t="str">
        <f>配置表!Z46</f>
        <v/>
      </c>
      <c r="P47" s="33" t="str">
        <f>配置表!AA46</f>
        <v>休</v>
      </c>
      <c r="Q47" s="227" t="str">
        <f>配置表!AB46</f>
        <v/>
      </c>
      <c r="R47" s="227" t="str">
        <f>配置表!AC46</f>
        <v/>
      </c>
      <c r="S47" s="238" t="str">
        <f>配置表!AD46</f>
        <v/>
      </c>
      <c r="T47" s="63"/>
      <c r="U47" s="152"/>
      <c r="V47" s="155"/>
      <c r="W47" s="155"/>
      <c r="X47" s="153"/>
      <c r="Y47" s="158"/>
      <c r="Z47" s="182">
        <f>COUNTIF(J41:J71,V47)</f>
        <v>0</v>
      </c>
      <c r="AA47" s="154">
        <f t="shared" si="2"/>
        <v>0</v>
      </c>
      <c r="AB47" s="182"/>
      <c r="AC47" s="183">
        <f t="shared" si="3"/>
        <v>0</v>
      </c>
    </row>
    <row r="48" spans="1:29" customFormat="1" ht="13.5">
      <c r="A48" s="28" t="str">
        <f>配置表!L47</f>
        <v/>
      </c>
      <c r="B48" s="9">
        <f>配置表!M47</f>
        <v>45785</v>
      </c>
      <c r="C48" s="10" t="str">
        <f>配置表!N47</f>
        <v>木</v>
      </c>
      <c r="D48" s="62" t="str">
        <f>配置表!O47</f>
        <v>春　特別展</v>
      </c>
      <c r="E48" s="67" t="str">
        <f>配置表!P47</f>
        <v>テーマ展</v>
      </c>
      <c r="F48" s="44" t="str">
        <f>配置表!Q47</f>
        <v>○</v>
      </c>
      <c r="G48" s="45">
        <f>配置表!R47</f>
        <v>0</v>
      </c>
      <c r="H48" s="10" t="str">
        <f>配置表!S47</f>
        <v/>
      </c>
      <c r="I48" s="45">
        <f>配置表!T47</f>
        <v>0</v>
      </c>
      <c r="J48" s="10" t="str">
        <f>配置表!U47</f>
        <v>●</v>
      </c>
      <c r="K48" s="36">
        <f>配置表!V47</f>
        <v>0</v>
      </c>
      <c r="L48" s="33" t="str">
        <f>配置表!W47</f>
        <v>○</v>
      </c>
      <c r="M48" s="26">
        <f>配置表!X47</f>
        <v>0</v>
      </c>
      <c r="N48" s="33" t="str">
        <f>配置表!Y47</f>
        <v>○</v>
      </c>
      <c r="O48" s="8">
        <f>配置表!Z47</f>
        <v>5</v>
      </c>
      <c r="P48" s="33" t="str">
        <f>配置表!AA47</f>
        <v>○</v>
      </c>
      <c r="Q48" s="227">
        <f>配置表!AB47</f>
        <v>0.41666666666666669</v>
      </c>
      <c r="R48" s="227">
        <f>配置表!AC47</f>
        <v>0.70833333333333337</v>
      </c>
      <c r="S48" s="238" t="str">
        <f>配置表!AD47</f>
        <v/>
      </c>
      <c r="T48" s="63"/>
      <c r="U48" s="152" t="s">
        <v>91</v>
      </c>
      <c r="V48" s="155" t="s">
        <v>66</v>
      </c>
      <c r="W48" s="155" t="s">
        <v>141</v>
      </c>
      <c r="X48" s="191">
        <v>5.25</v>
      </c>
      <c r="Y48" s="158">
        <v>1</v>
      </c>
      <c r="Z48" s="186">
        <f>COUNTIF(L41:L71,V48)</f>
        <v>12</v>
      </c>
      <c r="AA48" s="154">
        <f t="shared" si="2"/>
        <v>63</v>
      </c>
      <c r="AB48" s="182">
        <f>AB$15</f>
        <v>0</v>
      </c>
      <c r="AC48" s="183">
        <f t="shared" si="3"/>
        <v>0</v>
      </c>
    </row>
    <row r="49" spans="1:30" customFormat="1" ht="13.5">
      <c r="A49" s="28" t="str">
        <f>配置表!L48</f>
        <v/>
      </c>
      <c r="B49" s="9">
        <f>配置表!M48</f>
        <v>45786</v>
      </c>
      <c r="C49" s="10" t="str">
        <f>配置表!N48</f>
        <v>金</v>
      </c>
      <c r="D49" s="62" t="str">
        <f>配置表!O48</f>
        <v>春　特別展</v>
      </c>
      <c r="E49" s="67" t="str">
        <f>配置表!P48</f>
        <v>テーマ展</v>
      </c>
      <c r="F49" s="44" t="str">
        <f>配置表!Q48</f>
        <v>○</v>
      </c>
      <c r="G49" s="45">
        <f>配置表!R48</f>
        <v>0</v>
      </c>
      <c r="H49" s="10" t="str">
        <f>配置表!S48</f>
        <v/>
      </c>
      <c r="I49" s="45">
        <f>配置表!T48</f>
        <v>0</v>
      </c>
      <c r="J49" s="10" t="str">
        <f>配置表!U48</f>
        <v>●</v>
      </c>
      <c r="K49" s="36">
        <f>配置表!V48</f>
        <v>0</v>
      </c>
      <c r="L49" s="33" t="str">
        <f>配置表!W48</f>
        <v>○</v>
      </c>
      <c r="M49" s="26">
        <f>配置表!X48</f>
        <v>0</v>
      </c>
      <c r="N49" s="33" t="str">
        <f>配置表!Y48</f>
        <v>○</v>
      </c>
      <c r="O49" s="8">
        <f>配置表!Z48</f>
        <v>5</v>
      </c>
      <c r="P49" s="33" t="str">
        <f>配置表!AA48</f>
        <v>○</v>
      </c>
      <c r="Q49" s="227">
        <f>配置表!AB48</f>
        <v>0.41666666666666669</v>
      </c>
      <c r="R49" s="227">
        <f>配置表!AC48</f>
        <v>0.70833333333333337</v>
      </c>
      <c r="S49" s="238" t="str">
        <f>配置表!AD48</f>
        <v/>
      </c>
      <c r="T49" s="63"/>
      <c r="U49" s="152" t="s">
        <v>18</v>
      </c>
      <c r="V49" s="155" t="s">
        <v>15</v>
      </c>
      <c r="W49" s="155" t="s">
        <v>153</v>
      </c>
      <c r="X49" s="153">
        <v>5</v>
      </c>
      <c r="Y49" s="158">
        <v>1</v>
      </c>
      <c r="Z49" s="186">
        <f>COUNTIF(L41:L71,V49)</f>
        <v>10</v>
      </c>
      <c r="AA49" s="154">
        <f t="shared" si="2"/>
        <v>50</v>
      </c>
      <c r="AB49" s="182">
        <f>AB$16</f>
        <v>0</v>
      </c>
      <c r="AC49" s="183">
        <f t="shared" si="3"/>
        <v>0</v>
      </c>
    </row>
    <row r="50" spans="1:30" customFormat="1" ht="13.5">
      <c r="A50" s="28" t="str">
        <f>配置表!L49</f>
        <v/>
      </c>
      <c r="B50" s="9">
        <f>配置表!M49</f>
        <v>45787</v>
      </c>
      <c r="C50" s="10" t="str">
        <f>配置表!N49</f>
        <v>土</v>
      </c>
      <c r="D50" s="62" t="str">
        <f>配置表!O49</f>
        <v>春　特別展</v>
      </c>
      <c r="E50" s="67" t="str">
        <f>配置表!P49</f>
        <v>テーマ展</v>
      </c>
      <c r="F50" s="44" t="str">
        <f>配置表!Q49</f>
        <v>○</v>
      </c>
      <c r="G50" s="45">
        <f>配置表!R49</f>
        <v>0</v>
      </c>
      <c r="H50" s="10" t="str">
        <f>配置表!S49</f>
        <v>○</v>
      </c>
      <c r="I50" s="45">
        <f>配置表!T49</f>
        <v>0</v>
      </c>
      <c r="J50" s="10" t="str">
        <f>配置表!U49</f>
        <v>●</v>
      </c>
      <c r="K50" s="36">
        <f>配置表!V49</f>
        <v>0</v>
      </c>
      <c r="L50" s="33" t="str">
        <f>配置表!W49</f>
        <v>◎</v>
      </c>
      <c r="M50" s="26">
        <f>配置表!X49</f>
        <v>0</v>
      </c>
      <c r="N50" s="33" t="str">
        <f>配置表!Y49</f>
        <v>○</v>
      </c>
      <c r="O50" s="8">
        <f>配置表!Z49</f>
        <v>5</v>
      </c>
      <c r="P50" s="33" t="str">
        <f>配置表!AA49</f>
        <v>○</v>
      </c>
      <c r="Q50" s="227">
        <f>配置表!AB49</f>
        <v>0.41666666666666669</v>
      </c>
      <c r="R50" s="227">
        <f>配置表!AC49</f>
        <v>0.70833333333333337</v>
      </c>
      <c r="S50" s="238" t="str">
        <f>配置表!AD49</f>
        <v/>
      </c>
      <c r="T50" s="63"/>
      <c r="U50" s="152"/>
      <c r="V50" s="155"/>
      <c r="W50" s="155"/>
      <c r="X50" s="153"/>
      <c r="Y50" s="158"/>
      <c r="Z50" s="186">
        <f>COUNTIF(N41:N71,V50)</f>
        <v>0</v>
      </c>
      <c r="AA50" s="154">
        <f t="shared" si="2"/>
        <v>0</v>
      </c>
      <c r="AB50" s="182"/>
      <c r="AC50" s="183">
        <f t="shared" si="3"/>
        <v>0</v>
      </c>
    </row>
    <row r="51" spans="1:30" customFormat="1" ht="13.5">
      <c r="A51" s="28" t="str">
        <f>配置表!L50</f>
        <v/>
      </c>
      <c r="B51" s="9">
        <f>配置表!M50</f>
        <v>45788</v>
      </c>
      <c r="C51" s="10" t="str">
        <f>配置表!N50</f>
        <v>日</v>
      </c>
      <c r="D51" s="62" t="str">
        <f>配置表!O50</f>
        <v>春　特別展</v>
      </c>
      <c r="E51" s="67" t="str">
        <f>配置表!P50</f>
        <v>テーマ展</v>
      </c>
      <c r="F51" s="44" t="str">
        <f>配置表!Q50</f>
        <v>○</v>
      </c>
      <c r="G51" s="45">
        <f>配置表!R50</f>
        <v>0</v>
      </c>
      <c r="H51" s="10" t="str">
        <f>配置表!S50</f>
        <v>○</v>
      </c>
      <c r="I51" s="45">
        <f>配置表!T50</f>
        <v>0</v>
      </c>
      <c r="J51" s="10" t="str">
        <f>配置表!U50</f>
        <v>●</v>
      </c>
      <c r="K51" s="36">
        <f>配置表!V50</f>
        <v>0</v>
      </c>
      <c r="L51" s="33" t="str">
        <f>配置表!W50</f>
        <v>◎</v>
      </c>
      <c r="M51" s="26">
        <f>配置表!X50</f>
        <v>0</v>
      </c>
      <c r="N51" s="33" t="str">
        <f>配置表!Y50</f>
        <v>○</v>
      </c>
      <c r="O51" s="8">
        <f>配置表!Z50</f>
        <v>5</v>
      </c>
      <c r="P51" s="33" t="str">
        <f>配置表!AA50</f>
        <v>○</v>
      </c>
      <c r="Q51" s="227">
        <f>配置表!AB50</f>
        <v>0.41666666666666669</v>
      </c>
      <c r="R51" s="227">
        <f>配置表!AC50</f>
        <v>0.70833333333333337</v>
      </c>
      <c r="S51" s="238" t="str">
        <f>配置表!AD50</f>
        <v/>
      </c>
      <c r="T51" s="63"/>
      <c r="U51" s="152"/>
      <c r="V51" s="155"/>
      <c r="W51" s="274"/>
      <c r="X51" s="275"/>
      <c r="Y51" s="158"/>
      <c r="Z51" s="186">
        <f>COUNTIF(N41:N71,V51)</f>
        <v>0</v>
      </c>
      <c r="AA51" s="154">
        <f t="shared" si="2"/>
        <v>0</v>
      </c>
      <c r="AB51" s="182"/>
      <c r="AC51" s="183">
        <f t="shared" si="3"/>
        <v>0</v>
      </c>
    </row>
    <row r="52" spans="1:30" customFormat="1" ht="13.5">
      <c r="A52" s="28" t="str">
        <f>配置表!L51</f>
        <v>閉</v>
      </c>
      <c r="B52" s="9">
        <f>配置表!M51</f>
        <v>45789</v>
      </c>
      <c r="C52" s="10" t="str">
        <f>配置表!N51</f>
        <v>月</v>
      </c>
      <c r="D52" s="62" t="str">
        <f>配置表!O51</f>
        <v>春　特別展</v>
      </c>
      <c r="E52" s="67" t="str">
        <f>配置表!P51</f>
        <v>テーマ展</v>
      </c>
      <c r="F52" s="44" t="str">
        <f>配置表!Q51</f>
        <v>休</v>
      </c>
      <c r="G52" s="26">
        <f>配置表!R51</f>
        <v>0</v>
      </c>
      <c r="H52" s="33" t="str">
        <f>配置表!S51</f>
        <v>休</v>
      </c>
      <c r="I52" s="26">
        <f>配置表!T51</f>
        <v>0</v>
      </c>
      <c r="J52" s="33" t="str">
        <f>配置表!U51</f>
        <v>休</v>
      </c>
      <c r="K52" s="26">
        <f>配置表!V51</f>
        <v>0</v>
      </c>
      <c r="L52" s="33" t="str">
        <f>配置表!W51</f>
        <v>休</v>
      </c>
      <c r="M52" s="26">
        <f>配置表!X51</f>
        <v>0</v>
      </c>
      <c r="N52" s="33" t="str">
        <f>配置表!Y51</f>
        <v>休</v>
      </c>
      <c r="O52" s="8" t="str">
        <f>配置表!Z51</f>
        <v/>
      </c>
      <c r="P52" s="33" t="str">
        <f>配置表!AA51</f>
        <v>休</v>
      </c>
      <c r="Q52" s="227" t="str">
        <f>配置表!AB51</f>
        <v/>
      </c>
      <c r="R52" s="227" t="str">
        <f>配置表!AC51</f>
        <v/>
      </c>
      <c r="S52" s="238" t="str">
        <f>配置表!AD51</f>
        <v/>
      </c>
      <c r="T52" s="63"/>
      <c r="U52" s="152" t="s">
        <v>19</v>
      </c>
      <c r="V52" s="155" t="s">
        <v>66</v>
      </c>
      <c r="W52" s="274" t="s">
        <v>127</v>
      </c>
      <c r="X52" s="275">
        <v>7.5</v>
      </c>
      <c r="Y52" s="158">
        <v>1</v>
      </c>
      <c r="Z52" s="186">
        <f>COUNTIF(N41:N71,V52)</f>
        <v>27</v>
      </c>
      <c r="AA52" s="154">
        <f t="shared" si="2"/>
        <v>202.5</v>
      </c>
      <c r="AB52" s="182">
        <f>AB$19</f>
        <v>0</v>
      </c>
      <c r="AC52" s="183">
        <f t="shared" si="3"/>
        <v>0</v>
      </c>
    </row>
    <row r="53" spans="1:30" ht="13.5">
      <c r="A53" s="28" t="str">
        <f>配置表!L52</f>
        <v/>
      </c>
      <c r="B53" s="9">
        <f>配置表!M52</f>
        <v>45790</v>
      </c>
      <c r="C53" s="10" t="str">
        <f>配置表!N52</f>
        <v>火</v>
      </c>
      <c r="D53" s="62" t="str">
        <f>配置表!O52</f>
        <v>春　特別展</v>
      </c>
      <c r="E53" s="67" t="str">
        <f>配置表!P52</f>
        <v>テーマ展</v>
      </c>
      <c r="F53" s="44" t="str">
        <f>配置表!Q52</f>
        <v>○</v>
      </c>
      <c r="G53" s="45">
        <f>配置表!R52</f>
        <v>0</v>
      </c>
      <c r="H53" s="10" t="str">
        <f>配置表!S52</f>
        <v/>
      </c>
      <c r="I53" s="45">
        <f>配置表!T52</f>
        <v>0</v>
      </c>
      <c r="J53" s="10" t="str">
        <f>配置表!U52</f>
        <v>●</v>
      </c>
      <c r="K53" s="32">
        <f>配置表!V52</f>
        <v>0</v>
      </c>
      <c r="L53" s="33" t="str">
        <f>配置表!W52</f>
        <v>○</v>
      </c>
      <c r="M53" s="8">
        <f>配置表!X52</f>
        <v>0</v>
      </c>
      <c r="N53" s="33" t="str">
        <f>配置表!Y52</f>
        <v>○</v>
      </c>
      <c r="O53" s="8">
        <f>配置表!Z52</f>
        <v>5</v>
      </c>
      <c r="P53" s="33" t="str">
        <f>配置表!AA52</f>
        <v>○</v>
      </c>
      <c r="Q53" s="227">
        <f>配置表!AB52</f>
        <v>0.41666666666666669</v>
      </c>
      <c r="R53" s="227">
        <f>配置表!AC52</f>
        <v>0.70833333333333337</v>
      </c>
      <c r="S53" s="238" t="str">
        <f>配置表!AD52</f>
        <v/>
      </c>
      <c r="T53" s="63"/>
      <c r="U53" s="152"/>
      <c r="V53" s="155"/>
      <c r="W53" s="155"/>
      <c r="X53" s="153"/>
      <c r="Y53" s="158"/>
      <c r="Z53" s="186">
        <f>COUNTIF(P41:P71,V53)</f>
        <v>0</v>
      </c>
      <c r="AA53" s="154">
        <f t="shared" si="2"/>
        <v>0</v>
      </c>
      <c r="AB53" s="182"/>
      <c r="AC53" s="183">
        <f t="shared" si="3"/>
        <v>0</v>
      </c>
    </row>
    <row r="54" spans="1:30" ht="13.5">
      <c r="A54" s="28" t="str">
        <f>配置表!L53</f>
        <v/>
      </c>
      <c r="B54" s="9">
        <f>配置表!M53</f>
        <v>45791</v>
      </c>
      <c r="C54" s="10" t="str">
        <f>配置表!N53</f>
        <v>水</v>
      </c>
      <c r="D54" s="62" t="str">
        <f>配置表!O53</f>
        <v>春　特別展</v>
      </c>
      <c r="E54" s="67" t="str">
        <f>配置表!P53</f>
        <v>テーマ展</v>
      </c>
      <c r="F54" s="44" t="str">
        <f>配置表!Q53</f>
        <v>○</v>
      </c>
      <c r="G54" s="45">
        <f>配置表!R53</f>
        <v>0</v>
      </c>
      <c r="H54" s="10" t="str">
        <f>配置表!S53</f>
        <v/>
      </c>
      <c r="I54" s="45">
        <f>配置表!T53</f>
        <v>0</v>
      </c>
      <c r="J54" s="10" t="str">
        <f>配置表!U53</f>
        <v>●</v>
      </c>
      <c r="K54" s="32">
        <f>配置表!V53</f>
        <v>0</v>
      </c>
      <c r="L54" s="33" t="str">
        <f>配置表!W53</f>
        <v>○</v>
      </c>
      <c r="M54" s="8">
        <f>配置表!X53</f>
        <v>0</v>
      </c>
      <c r="N54" s="33" t="str">
        <f>配置表!Y53</f>
        <v>○</v>
      </c>
      <c r="O54" s="8">
        <f>配置表!Z53</f>
        <v>5</v>
      </c>
      <c r="P54" s="33" t="str">
        <f>配置表!AA53</f>
        <v>○</v>
      </c>
      <c r="Q54" s="227">
        <f>配置表!AB53</f>
        <v>0.41666666666666669</v>
      </c>
      <c r="R54" s="227">
        <f>配置表!AC53</f>
        <v>0.70833333333333337</v>
      </c>
      <c r="S54" s="238" t="str">
        <f>配置表!AD53</f>
        <v/>
      </c>
      <c r="T54" s="63"/>
      <c r="U54" s="152"/>
      <c r="V54" s="155"/>
      <c r="W54" s="274"/>
      <c r="X54" s="275"/>
      <c r="Y54" s="158"/>
      <c r="Z54" s="182">
        <f>COUNTIF(P41:P71,V54)</f>
        <v>0</v>
      </c>
      <c r="AA54" s="154">
        <f t="shared" si="2"/>
        <v>0</v>
      </c>
      <c r="AB54" s="182"/>
      <c r="AC54" s="183">
        <f t="shared" si="3"/>
        <v>0</v>
      </c>
    </row>
    <row r="55" spans="1:30" ht="13.5">
      <c r="A55" s="28" t="str">
        <f>配置表!L54</f>
        <v/>
      </c>
      <c r="B55" s="9">
        <f>配置表!M54</f>
        <v>45792</v>
      </c>
      <c r="C55" s="10" t="str">
        <f>配置表!N54</f>
        <v>木</v>
      </c>
      <c r="D55" s="62" t="str">
        <f>配置表!O54</f>
        <v>春　特別展</v>
      </c>
      <c r="E55" s="67" t="str">
        <f>配置表!P54</f>
        <v>テーマ展</v>
      </c>
      <c r="F55" s="44" t="str">
        <f>配置表!Q54</f>
        <v>○</v>
      </c>
      <c r="G55" s="45">
        <f>配置表!R54</f>
        <v>0</v>
      </c>
      <c r="H55" s="10" t="str">
        <f>配置表!S54</f>
        <v/>
      </c>
      <c r="I55" s="45">
        <f>配置表!T54</f>
        <v>0</v>
      </c>
      <c r="J55" s="10" t="str">
        <f>配置表!U54</f>
        <v>●</v>
      </c>
      <c r="K55" s="32">
        <f>配置表!V54</f>
        <v>0</v>
      </c>
      <c r="L55" s="33" t="str">
        <f>配置表!W54</f>
        <v>○</v>
      </c>
      <c r="M55" s="8">
        <f>配置表!X54</f>
        <v>0</v>
      </c>
      <c r="N55" s="33" t="str">
        <f>配置表!Y54</f>
        <v>○</v>
      </c>
      <c r="O55" s="8">
        <f>配置表!Z54</f>
        <v>5</v>
      </c>
      <c r="P55" s="33" t="str">
        <f>配置表!AA54</f>
        <v>○</v>
      </c>
      <c r="Q55" s="227">
        <f>配置表!AB54</f>
        <v>0.41666666666666669</v>
      </c>
      <c r="R55" s="227">
        <f>配置表!AC54</f>
        <v>0.70833333333333337</v>
      </c>
      <c r="S55" s="238" t="str">
        <f>配置表!AD54</f>
        <v/>
      </c>
      <c r="T55" s="63"/>
      <c r="U55" s="152" t="s">
        <v>69</v>
      </c>
      <c r="V55" s="155" t="s">
        <v>66</v>
      </c>
      <c r="W55" s="274" t="s">
        <v>127</v>
      </c>
      <c r="X55" s="275">
        <v>7.5</v>
      </c>
      <c r="Y55" s="158">
        <v>5</v>
      </c>
      <c r="Z55" s="182">
        <f>COUNTIF(P41:P71,V55)</f>
        <v>22</v>
      </c>
      <c r="AA55" s="154">
        <f t="shared" si="2"/>
        <v>825</v>
      </c>
      <c r="AB55" s="182">
        <f>AB$22</f>
        <v>0</v>
      </c>
      <c r="AC55" s="183">
        <f t="shared" si="3"/>
        <v>0</v>
      </c>
    </row>
    <row r="56" spans="1:30" ht="13.5">
      <c r="A56" s="28" t="str">
        <f>配置表!L55</f>
        <v/>
      </c>
      <c r="B56" s="9">
        <f>配置表!M55</f>
        <v>45793</v>
      </c>
      <c r="C56" s="10" t="str">
        <f>配置表!N55</f>
        <v>金</v>
      </c>
      <c r="D56" s="62" t="str">
        <f>配置表!O55</f>
        <v>春　特別展</v>
      </c>
      <c r="E56" s="67" t="str">
        <f>配置表!P55</f>
        <v>テーマ展</v>
      </c>
      <c r="F56" s="44" t="str">
        <f>配置表!Q55</f>
        <v>○</v>
      </c>
      <c r="G56" s="45">
        <f>配置表!R55</f>
        <v>0</v>
      </c>
      <c r="H56" s="10" t="str">
        <f>配置表!S55</f>
        <v/>
      </c>
      <c r="I56" s="45">
        <f>配置表!T55</f>
        <v>0</v>
      </c>
      <c r="J56" s="10" t="str">
        <f>配置表!U55</f>
        <v>●</v>
      </c>
      <c r="K56" s="32">
        <f>配置表!V55</f>
        <v>0</v>
      </c>
      <c r="L56" s="33" t="str">
        <f>配置表!W55</f>
        <v>○</v>
      </c>
      <c r="M56" s="8">
        <f>配置表!X55</f>
        <v>0</v>
      </c>
      <c r="N56" s="33" t="str">
        <f>配置表!Y55</f>
        <v>○</v>
      </c>
      <c r="O56" s="8">
        <f>配置表!Z55</f>
        <v>5</v>
      </c>
      <c r="P56" s="33" t="str">
        <f>配置表!AA55</f>
        <v>○</v>
      </c>
      <c r="Q56" s="227">
        <f>配置表!AB55</f>
        <v>0.41666666666666669</v>
      </c>
      <c r="R56" s="227">
        <f>配置表!AC55</f>
        <v>0.70833333333333337</v>
      </c>
      <c r="S56" s="238" t="str">
        <f>配置表!AD55</f>
        <v/>
      </c>
      <c r="T56" s="63"/>
      <c r="U56" s="187" t="s">
        <v>69</v>
      </c>
      <c r="V56" s="155" t="s">
        <v>75</v>
      </c>
      <c r="W56" s="274" t="s">
        <v>127</v>
      </c>
      <c r="X56" s="275">
        <v>7.5</v>
      </c>
      <c r="Y56" s="158">
        <v>1</v>
      </c>
      <c r="Z56" s="186">
        <f>COUNTIF(P41:P71,V56)+Z57</f>
        <v>5</v>
      </c>
      <c r="AA56" s="154">
        <f t="shared" si="2"/>
        <v>37.5</v>
      </c>
      <c r="AB56" s="182"/>
      <c r="AC56" s="183">
        <f t="shared" si="3"/>
        <v>0</v>
      </c>
      <c r="AD56" s="1" t="s">
        <v>95</v>
      </c>
    </row>
    <row r="57" spans="1:30" ht="13.5">
      <c r="A57" s="28" t="str">
        <f>配置表!L56</f>
        <v/>
      </c>
      <c r="B57" s="9">
        <f>配置表!M56</f>
        <v>45794</v>
      </c>
      <c r="C57" s="10" t="str">
        <f>配置表!N56</f>
        <v>土</v>
      </c>
      <c r="D57" s="62" t="str">
        <f>配置表!O56</f>
        <v>春　特別展</v>
      </c>
      <c r="E57" s="67" t="str">
        <f>配置表!P56</f>
        <v>テーマ展</v>
      </c>
      <c r="F57" s="44" t="str">
        <f>配置表!Q56</f>
        <v>○</v>
      </c>
      <c r="G57" s="45">
        <f>配置表!R56</f>
        <v>0</v>
      </c>
      <c r="H57" s="10" t="str">
        <f>配置表!S56</f>
        <v>○</v>
      </c>
      <c r="I57" s="45">
        <f>配置表!T56</f>
        <v>0</v>
      </c>
      <c r="J57" s="10" t="str">
        <f>配置表!U56</f>
        <v>●</v>
      </c>
      <c r="K57" s="32">
        <f>配置表!V56</f>
        <v>0</v>
      </c>
      <c r="L57" s="33" t="str">
        <f>配置表!W56</f>
        <v>◎</v>
      </c>
      <c r="M57" s="8">
        <f>配置表!X56</f>
        <v>0</v>
      </c>
      <c r="N57" s="33" t="str">
        <f>配置表!Y56</f>
        <v>○</v>
      </c>
      <c r="O57" s="8">
        <f>配置表!Z56</f>
        <v>5</v>
      </c>
      <c r="P57" s="33" t="str">
        <f>配置表!AA56</f>
        <v>○</v>
      </c>
      <c r="Q57" s="227">
        <f>配置表!AB56</f>
        <v>0.41666666666666669</v>
      </c>
      <c r="R57" s="227">
        <f>配置表!AC56</f>
        <v>0.70833333333333337</v>
      </c>
      <c r="S57" s="238" t="str">
        <f>配置表!AD56</f>
        <v/>
      </c>
      <c r="T57" s="63"/>
      <c r="U57" s="152" t="s">
        <v>69</v>
      </c>
      <c r="V57" s="155" t="s">
        <v>93</v>
      </c>
      <c r="W57" s="155" t="s">
        <v>154</v>
      </c>
      <c r="X57" s="191">
        <v>2.75</v>
      </c>
      <c r="Y57" s="158">
        <v>4</v>
      </c>
      <c r="Z57" s="186">
        <f>COUNTIF(P41:P71,V57)</f>
        <v>0</v>
      </c>
      <c r="AA57" s="154">
        <f t="shared" si="2"/>
        <v>0</v>
      </c>
      <c r="AB57" s="182"/>
      <c r="AC57" s="183">
        <f t="shared" si="3"/>
        <v>0</v>
      </c>
    </row>
    <row r="58" spans="1:30" ht="13.5">
      <c r="A58" s="28" t="str">
        <f>配置表!L57</f>
        <v/>
      </c>
      <c r="B58" s="9">
        <f>配置表!M57</f>
        <v>45795</v>
      </c>
      <c r="C58" s="10" t="str">
        <f>配置表!N57</f>
        <v>日</v>
      </c>
      <c r="D58" s="62" t="str">
        <f>配置表!O57</f>
        <v>春　特別展</v>
      </c>
      <c r="E58" s="67" t="str">
        <f>配置表!P57</f>
        <v>テーマ展</v>
      </c>
      <c r="F58" s="44" t="str">
        <f>配置表!Q57</f>
        <v>○</v>
      </c>
      <c r="G58" s="45">
        <f>配置表!R57</f>
        <v>0</v>
      </c>
      <c r="H58" s="10" t="str">
        <f>配置表!S57</f>
        <v>○</v>
      </c>
      <c r="I58" s="45">
        <f>配置表!T57</f>
        <v>0</v>
      </c>
      <c r="J58" s="10" t="str">
        <f>配置表!U57</f>
        <v>●</v>
      </c>
      <c r="K58" s="32">
        <f>配置表!V57</f>
        <v>0</v>
      </c>
      <c r="L58" s="33" t="str">
        <f>配置表!W57</f>
        <v>◎</v>
      </c>
      <c r="M58" s="8">
        <f>配置表!X57</f>
        <v>0</v>
      </c>
      <c r="N58" s="33" t="str">
        <f>配置表!Y57</f>
        <v>○</v>
      </c>
      <c r="O58" s="8">
        <f>配置表!Z57</f>
        <v>5</v>
      </c>
      <c r="P58" s="33" t="str">
        <f>配置表!AA57</f>
        <v>○</v>
      </c>
      <c r="Q58" s="227">
        <f>配置表!AB57</f>
        <v>0.41666666666666669</v>
      </c>
      <c r="R58" s="227">
        <f>配置表!AC57</f>
        <v>0.70833333333333337</v>
      </c>
      <c r="S58" s="238" t="str">
        <f>配置表!AD57</f>
        <v/>
      </c>
      <c r="T58" s="63"/>
      <c r="U58" s="159" t="s">
        <v>64</v>
      </c>
      <c r="V58" s="160"/>
      <c r="W58" s="160"/>
      <c r="X58" s="188"/>
      <c r="Y58" s="188"/>
      <c r="Z58" s="189">
        <f>SUM(Z41:Z57)</f>
        <v>140</v>
      </c>
      <c r="AA58" s="190">
        <f>SUM(AA41:AA57)</f>
        <v>1642.25</v>
      </c>
      <c r="AB58" s="182"/>
      <c r="AC58" s="183">
        <f>SUM(AC41:AC57)</f>
        <v>0</v>
      </c>
    </row>
    <row r="59" spans="1:30" ht="14.25" thickBot="1">
      <c r="A59" s="28" t="str">
        <f>配置表!L58</f>
        <v>閉</v>
      </c>
      <c r="B59" s="9">
        <f>配置表!M58</f>
        <v>45796</v>
      </c>
      <c r="C59" s="10" t="str">
        <f>配置表!N58</f>
        <v>月</v>
      </c>
      <c r="D59" s="62" t="str">
        <f>配置表!O58</f>
        <v>春　特別展</v>
      </c>
      <c r="E59" s="67" t="str">
        <f>配置表!P58</f>
        <v>テーマ展</v>
      </c>
      <c r="F59" s="44" t="str">
        <f>配置表!Q58</f>
        <v>休</v>
      </c>
      <c r="G59" s="8">
        <f>配置表!R58</f>
        <v>0</v>
      </c>
      <c r="H59" s="33" t="str">
        <f>配置表!S58</f>
        <v>休</v>
      </c>
      <c r="I59" s="8">
        <f>配置表!T58</f>
        <v>0</v>
      </c>
      <c r="J59" s="33" t="str">
        <f>配置表!U58</f>
        <v>休</v>
      </c>
      <c r="K59" s="8">
        <f>配置表!V58</f>
        <v>0</v>
      </c>
      <c r="L59" s="33" t="str">
        <f>配置表!W58</f>
        <v>休</v>
      </c>
      <c r="M59" s="8">
        <f>配置表!X58</f>
        <v>0</v>
      </c>
      <c r="N59" s="33" t="str">
        <f>配置表!Y58</f>
        <v>休</v>
      </c>
      <c r="O59" s="8" t="str">
        <f>配置表!Z58</f>
        <v/>
      </c>
      <c r="P59" s="33" t="str">
        <f>配置表!AA58</f>
        <v>休</v>
      </c>
      <c r="Q59" s="227" t="str">
        <f>配置表!AB58</f>
        <v/>
      </c>
      <c r="R59" s="227" t="str">
        <f>配置表!AC58</f>
        <v/>
      </c>
      <c r="S59" s="238" t="str">
        <f>配置表!AD58</f>
        <v/>
      </c>
      <c r="T59" s="63"/>
      <c r="U59" s="178" t="s">
        <v>65</v>
      </c>
      <c r="V59" s="179"/>
      <c r="W59" s="179"/>
      <c r="X59" s="180"/>
      <c r="Y59" s="180"/>
      <c r="Z59" s="180"/>
      <c r="AA59" s="170"/>
      <c r="AB59" s="184"/>
      <c r="AC59" s="185">
        <f>ROUNDDOWN(AC58*1.1,0)</f>
        <v>0</v>
      </c>
    </row>
    <row r="60" spans="1:30">
      <c r="A60" s="28" t="str">
        <f>配置表!L59</f>
        <v/>
      </c>
      <c r="B60" s="9">
        <f>配置表!M59</f>
        <v>45797</v>
      </c>
      <c r="C60" s="10" t="str">
        <f>配置表!N59</f>
        <v>火</v>
      </c>
      <c r="D60" s="62" t="str">
        <f>配置表!O59</f>
        <v>春　特別展</v>
      </c>
      <c r="E60" s="67" t="str">
        <f>配置表!P59</f>
        <v>テーマ展</v>
      </c>
      <c r="F60" s="44" t="str">
        <f>配置表!Q59</f>
        <v>○</v>
      </c>
      <c r="G60" s="45">
        <f>配置表!R59</f>
        <v>0</v>
      </c>
      <c r="H60" s="10" t="str">
        <f>配置表!S59</f>
        <v/>
      </c>
      <c r="I60" s="45">
        <f>配置表!T59</f>
        <v>0</v>
      </c>
      <c r="J60" s="10" t="str">
        <f>配置表!U59</f>
        <v>●</v>
      </c>
      <c r="K60" s="32">
        <f>配置表!V59</f>
        <v>0</v>
      </c>
      <c r="L60" s="33" t="str">
        <f>配置表!W59</f>
        <v>○</v>
      </c>
      <c r="M60" s="8">
        <f>配置表!X59</f>
        <v>0</v>
      </c>
      <c r="N60" s="33" t="str">
        <f>配置表!Y59</f>
        <v>○</v>
      </c>
      <c r="O60" s="8">
        <f>配置表!Z59</f>
        <v>5</v>
      </c>
      <c r="P60" s="33" t="str">
        <f>配置表!AA59</f>
        <v>○</v>
      </c>
      <c r="Q60" s="227">
        <f>配置表!AB59</f>
        <v>0.41666666666666669</v>
      </c>
      <c r="R60" s="227">
        <f>配置表!AC59</f>
        <v>0.70833333333333337</v>
      </c>
      <c r="S60" s="238" t="str">
        <f>配置表!AD59</f>
        <v/>
      </c>
      <c r="T60" s="63"/>
    </row>
    <row r="61" spans="1:30">
      <c r="A61" s="28" t="str">
        <f>配置表!L60</f>
        <v/>
      </c>
      <c r="B61" s="9">
        <f>配置表!M60</f>
        <v>45798</v>
      </c>
      <c r="C61" s="10" t="str">
        <f>配置表!N60</f>
        <v>水</v>
      </c>
      <c r="D61" s="62" t="str">
        <f>配置表!O60</f>
        <v>春　特別展</v>
      </c>
      <c r="E61" s="67" t="str">
        <f>配置表!P60</f>
        <v>テーマ展</v>
      </c>
      <c r="F61" s="44" t="str">
        <f>配置表!Q60</f>
        <v>○</v>
      </c>
      <c r="G61" s="45">
        <f>配置表!R60</f>
        <v>0</v>
      </c>
      <c r="H61" s="10" t="str">
        <f>配置表!S60</f>
        <v/>
      </c>
      <c r="I61" s="45">
        <f>配置表!T60</f>
        <v>0</v>
      </c>
      <c r="J61" s="10" t="str">
        <f>配置表!U60</f>
        <v>●</v>
      </c>
      <c r="K61" s="32">
        <f>配置表!V60</f>
        <v>0</v>
      </c>
      <c r="L61" s="33" t="str">
        <f>配置表!W60</f>
        <v>○</v>
      </c>
      <c r="M61" s="8">
        <f>配置表!X60</f>
        <v>0</v>
      </c>
      <c r="N61" s="33" t="str">
        <f>配置表!Y60</f>
        <v>○</v>
      </c>
      <c r="O61" s="8">
        <f>配置表!Z60</f>
        <v>5</v>
      </c>
      <c r="P61" s="33" t="str">
        <f>配置表!AA60</f>
        <v>○</v>
      </c>
      <c r="Q61" s="227">
        <f>配置表!AB60</f>
        <v>0.41666666666666669</v>
      </c>
      <c r="R61" s="227">
        <f>配置表!AC60</f>
        <v>0.70833333333333337</v>
      </c>
      <c r="S61" s="238" t="str">
        <f>配置表!AD60</f>
        <v/>
      </c>
      <c r="T61" s="63"/>
    </row>
    <row r="62" spans="1:30">
      <c r="A62" s="28" t="str">
        <f>配置表!L61</f>
        <v/>
      </c>
      <c r="B62" s="9">
        <f>配置表!M61</f>
        <v>45799</v>
      </c>
      <c r="C62" s="10" t="str">
        <f>配置表!N61</f>
        <v>木</v>
      </c>
      <c r="D62" s="62" t="str">
        <f>配置表!O61</f>
        <v>春　特別展</v>
      </c>
      <c r="E62" s="67" t="str">
        <f>配置表!P61</f>
        <v>テーマ展</v>
      </c>
      <c r="F62" s="44" t="str">
        <f>配置表!Q61</f>
        <v>○</v>
      </c>
      <c r="G62" s="45">
        <f>配置表!R61</f>
        <v>0</v>
      </c>
      <c r="H62" s="10" t="str">
        <f>配置表!S61</f>
        <v/>
      </c>
      <c r="I62" s="45">
        <f>配置表!T61</f>
        <v>0</v>
      </c>
      <c r="J62" s="10" t="str">
        <f>配置表!U61</f>
        <v>●</v>
      </c>
      <c r="K62" s="32">
        <f>配置表!V61</f>
        <v>0</v>
      </c>
      <c r="L62" s="33" t="str">
        <f>配置表!W61</f>
        <v>○</v>
      </c>
      <c r="M62" s="8">
        <f>配置表!X61</f>
        <v>0</v>
      </c>
      <c r="N62" s="33" t="str">
        <f>配置表!Y61</f>
        <v>○</v>
      </c>
      <c r="O62" s="8">
        <f>配置表!Z61</f>
        <v>5</v>
      </c>
      <c r="P62" s="33" t="str">
        <f>配置表!AA61</f>
        <v>○</v>
      </c>
      <c r="Q62" s="227">
        <f>配置表!AB61</f>
        <v>0.41666666666666669</v>
      </c>
      <c r="R62" s="227">
        <f>配置表!AC61</f>
        <v>0.70833333333333337</v>
      </c>
      <c r="S62" s="238" t="str">
        <f>配置表!AD61</f>
        <v/>
      </c>
      <c r="T62" s="63"/>
      <c r="U62" s="4"/>
      <c r="V62" s="162"/>
      <c r="W62" s="162"/>
      <c r="X62" s="4"/>
      <c r="Y62" s="4"/>
      <c r="Z62" s="4"/>
      <c r="AA62" s="4"/>
      <c r="AB62" s="4"/>
      <c r="AC62" s="4"/>
    </row>
    <row r="63" spans="1:30">
      <c r="A63" s="28" t="str">
        <f>配置表!L62</f>
        <v/>
      </c>
      <c r="B63" s="9">
        <f>配置表!M62</f>
        <v>45800</v>
      </c>
      <c r="C63" s="10" t="str">
        <f>配置表!N62</f>
        <v>金</v>
      </c>
      <c r="D63" s="62" t="str">
        <f>配置表!O62</f>
        <v>春　特別展</v>
      </c>
      <c r="E63" s="67" t="str">
        <f>配置表!P62</f>
        <v>テーマ展</v>
      </c>
      <c r="F63" s="44" t="str">
        <f>配置表!Q62</f>
        <v>○</v>
      </c>
      <c r="G63" s="45">
        <f>配置表!R62</f>
        <v>0</v>
      </c>
      <c r="H63" s="10" t="str">
        <f>配置表!S62</f>
        <v/>
      </c>
      <c r="I63" s="45">
        <f>配置表!T62</f>
        <v>0</v>
      </c>
      <c r="J63" s="10" t="str">
        <f>配置表!U62</f>
        <v>●</v>
      </c>
      <c r="K63" s="32">
        <f>配置表!V62</f>
        <v>0</v>
      </c>
      <c r="L63" s="33" t="str">
        <f>配置表!W62</f>
        <v>○</v>
      </c>
      <c r="M63" s="8">
        <f>配置表!X62</f>
        <v>0</v>
      </c>
      <c r="N63" s="33" t="str">
        <f>配置表!Y62</f>
        <v>○</v>
      </c>
      <c r="O63" s="8">
        <f>配置表!Z62</f>
        <v>5</v>
      </c>
      <c r="P63" s="33" t="str">
        <f>配置表!AA62</f>
        <v>○</v>
      </c>
      <c r="Q63" s="227">
        <f>配置表!AB62</f>
        <v>0.41666666666666669</v>
      </c>
      <c r="R63" s="227">
        <f>配置表!AC62</f>
        <v>0.70833333333333337</v>
      </c>
      <c r="S63" s="238" t="str">
        <f>配置表!AD62</f>
        <v/>
      </c>
      <c r="T63" s="63"/>
      <c r="U63" s="4"/>
      <c r="V63" s="162"/>
      <c r="W63" s="162"/>
      <c r="X63" s="4"/>
      <c r="Y63" s="4"/>
      <c r="Z63" s="4"/>
      <c r="AA63" s="4"/>
      <c r="AB63" s="4"/>
      <c r="AC63" s="4"/>
    </row>
    <row r="64" spans="1:30" ht="13.5">
      <c r="A64" s="28" t="str">
        <f>配置表!L63</f>
        <v/>
      </c>
      <c r="B64" s="9">
        <f>配置表!M63</f>
        <v>45801</v>
      </c>
      <c r="C64" s="10" t="str">
        <f>配置表!N63</f>
        <v>土</v>
      </c>
      <c r="D64" s="62" t="str">
        <f>配置表!O63</f>
        <v>春　特別展</v>
      </c>
      <c r="E64" s="67" t="str">
        <f>配置表!P63</f>
        <v>テーマ展</v>
      </c>
      <c r="F64" s="44" t="str">
        <f>配置表!Q63</f>
        <v>○</v>
      </c>
      <c r="G64" s="45">
        <f>配置表!R63</f>
        <v>0</v>
      </c>
      <c r="H64" s="10" t="str">
        <f>配置表!S63</f>
        <v>○</v>
      </c>
      <c r="I64" s="45">
        <f>配置表!T63</f>
        <v>0</v>
      </c>
      <c r="J64" s="10" t="str">
        <f>配置表!U63</f>
        <v>●</v>
      </c>
      <c r="K64" s="32">
        <f>配置表!V63</f>
        <v>0</v>
      </c>
      <c r="L64" s="33" t="str">
        <f>配置表!W63</f>
        <v>◎</v>
      </c>
      <c r="M64" s="8">
        <f>配置表!X63</f>
        <v>0</v>
      </c>
      <c r="N64" s="33" t="str">
        <f>配置表!Y63</f>
        <v>○</v>
      </c>
      <c r="O64" s="8">
        <f>配置表!Z63</f>
        <v>5</v>
      </c>
      <c r="P64" s="33" t="str">
        <f>配置表!AA63</f>
        <v>○</v>
      </c>
      <c r="Q64" s="227">
        <f>配置表!AB63</f>
        <v>0.41666666666666669</v>
      </c>
      <c r="R64" s="227">
        <f>配置表!AC63</f>
        <v>0.70833333333333337</v>
      </c>
      <c r="S64" s="238" t="str">
        <f>配置表!AD63</f>
        <v/>
      </c>
      <c r="T64" s="63"/>
      <c r="U64" s="318"/>
      <c r="V64" s="318"/>
      <c r="W64" s="318"/>
      <c r="X64" s="318"/>
      <c r="Y64" s="318"/>
      <c r="Z64" s="318"/>
      <c r="AA64" s="318"/>
      <c r="AB64" s="318"/>
      <c r="AC64" s="318"/>
    </row>
    <row r="65" spans="1:29" ht="13.5">
      <c r="A65" s="28" t="str">
        <f>配置表!L64</f>
        <v/>
      </c>
      <c r="B65" s="9">
        <f>配置表!M64</f>
        <v>45802</v>
      </c>
      <c r="C65" s="10" t="str">
        <f>配置表!N64</f>
        <v>日</v>
      </c>
      <c r="D65" s="62" t="str">
        <f>配置表!O64</f>
        <v>春　特別展</v>
      </c>
      <c r="E65" s="67" t="str">
        <f>配置表!P64</f>
        <v>テーマ展</v>
      </c>
      <c r="F65" s="44" t="str">
        <f>配置表!Q64</f>
        <v>○</v>
      </c>
      <c r="G65" s="45">
        <f>配置表!R64</f>
        <v>0</v>
      </c>
      <c r="H65" s="10" t="str">
        <f>配置表!S64</f>
        <v>○</v>
      </c>
      <c r="I65" s="45">
        <f>配置表!T64</f>
        <v>0</v>
      </c>
      <c r="J65" s="10" t="str">
        <f>配置表!U64</f>
        <v>●</v>
      </c>
      <c r="K65" s="32">
        <f>配置表!V64</f>
        <v>0</v>
      </c>
      <c r="L65" s="33" t="str">
        <f>配置表!W64</f>
        <v>◎</v>
      </c>
      <c r="M65" s="8">
        <f>配置表!X64</f>
        <v>0</v>
      </c>
      <c r="N65" s="33" t="str">
        <f>配置表!Y64</f>
        <v>○</v>
      </c>
      <c r="O65" s="8">
        <f>配置表!Z64</f>
        <v>5</v>
      </c>
      <c r="P65" s="33" t="str">
        <f>配置表!AA64</f>
        <v>○</v>
      </c>
      <c r="Q65" s="227">
        <f>配置表!AB64</f>
        <v>0.41666666666666669</v>
      </c>
      <c r="R65" s="227">
        <f>配置表!AC64</f>
        <v>0.70833333333333337</v>
      </c>
      <c r="S65" s="238" t="str">
        <f>配置表!AD64</f>
        <v/>
      </c>
      <c r="T65" s="63"/>
      <c r="U65" s="39"/>
      <c r="V65" s="319"/>
      <c r="W65" s="319"/>
      <c r="X65" s="320"/>
      <c r="Y65" s="321"/>
      <c r="Z65" s="26"/>
      <c r="AA65" s="322"/>
      <c r="AB65" s="323"/>
      <c r="AC65" s="323"/>
    </row>
    <row r="66" spans="1:29" ht="13.5">
      <c r="A66" s="28" t="str">
        <f>配置表!L65</f>
        <v>閉</v>
      </c>
      <c r="B66" s="9">
        <f>配置表!M65</f>
        <v>45803</v>
      </c>
      <c r="C66" s="10" t="str">
        <f>配置表!N65</f>
        <v>月</v>
      </c>
      <c r="D66" s="62" t="str">
        <f>配置表!O65</f>
        <v/>
      </c>
      <c r="E66" s="67" t="str">
        <f>配置表!P65</f>
        <v>テーマ展</v>
      </c>
      <c r="F66" s="44" t="str">
        <f>配置表!Q65</f>
        <v>休</v>
      </c>
      <c r="G66" s="8">
        <f>配置表!R65</f>
        <v>0</v>
      </c>
      <c r="H66" s="33" t="str">
        <f>配置表!S65</f>
        <v>休</v>
      </c>
      <c r="I66" s="8">
        <f>配置表!T65</f>
        <v>0</v>
      </c>
      <c r="J66" s="33" t="str">
        <f>配置表!U65</f>
        <v>休</v>
      </c>
      <c r="K66" s="8">
        <f>配置表!V65</f>
        <v>0</v>
      </c>
      <c r="L66" s="33" t="str">
        <f>配置表!W65</f>
        <v>休</v>
      </c>
      <c r="M66" s="8">
        <f>配置表!X65</f>
        <v>0</v>
      </c>
      <c r="N66" s="33" t="str">
        <f>配置表!Y65</f>
        <v>休</v>
      </c>
      <c r="O66" s="8" t="str">
        <f>配置表!Z65</f>
        <v/>
      </c>
      <c r="P66" s="33" t="str">
        <f>配置表!AA65</f>
        <v>休</v>
      </c>
      <c r="Q66" s="227" t="str">
        <f>配置表!AB65</f>
        <v/>
      </c>
      <c r="R66" s="227" t="str">
        <f>配置表!AC65</f>
        <v/>
      </c>
      <c r="S66" s="238" t="str">
        <f>配置表!AD65</f>
        <v/>
      </c>
      <c r="T66" s="63"/>
      <c r="U66" s="4"/>
      <c r="V66" s="162"/>
      <c r="W66" s="162"/>
      <c r="X66" s="4"/>
      <c r="Y66" s="4"/>
      <c r="Z66" s="4"/>
      <c r="AA66" s="4"/>
      <c r="AB66" s="324"/>
      <c r="AC66" s="325"/>
    </row>
    <row r="67" spans="1:29">
      <c r="A67" s="28" t="str">
        <f>配置表!L66</f>
        <v/>
      </c>
      <c r="B67" s="9">
        <f>配置表!M66</f>
        <v>45804</v>
      </c>
      <c r="C67" s="10" t="str">
        <f>配置表!N66</f>
        <v>火</v>
      </c>
      <c r="D67" s="62" t="str">
        <f>配置表!O66</f>
        <v/>
      </c>
      <c r="E67" s="67" t="str">
        <f>配置表!P66</f>
        <v>テーマ展</v>
      </c>
      <c r="F67" s="44" t="str">
        <f>配置表!Q66</f>
        <v>○</v>
      </c>
      <c r="G67" s="45">
        <f>配置表!R66</f>
        <v>0</v>
      </c>
      <c r="H67" s="10" t="str">
        <f>配置表!S66</f>
        <v/>
      </c>
      <c r="I67" s="45">
        <f>配置表!T66</f>
        <v>0</v>
      </c>
      <c r="J67" s="10" t="str">
        <f>配置表!U66</f>
        <v>●</v>
      </c>
      <c r="K67" s="32">
        <f>配置表!V66</f>
        <v>0</v>
      </c>
      <c r="L67" s="33" t="str">
        <f>配置表!W66</f>
        <v/>
      </c>
      <c r="M67" s="8">
        <f>配置表!X66</f>
        <v>0</v>
      </c>
      <c r="N67" s="33" t="str">
        <f>配置表!Y66</f>
        <v>○</v>
      </c>
      <c r="O67" s="8">
        <f>配置表!Z66</f>
        <v>1</v>
      </c>
      <c r="P67" s="33" t="str">
        <f>配置表!AA66</f>
        <v>△</v>
      </c>
      <c r="Q67" s="227">
        <f>配置表!AB66</f>
        <v>0.41666666666666669</v>
      </c>
      <c r="R67" s="227">
        <f>配置表!AC66</f>
        <v>0.70833333333333337</v>
      </c>
      <c r="S67" s="238" t="str">
        <f>配置表!AD66</f>
        <v/>
      </c>
      <c r="T67" s="63"/>
      <c r="U67" s="4"/>
      <c r="V67" s="162"/>
      <c r="W67" s="162"/>
      <c r="X67" s="4"/>
      <c r="Y67" s="4"/>
      <c r="Z67" s="4"/>
      <c r="AA67" s="4"/>
      <c r="AB67" s="4"/>
      <c r="AC67" s="4"/>
    </row>
    <row r="68" spans="1:29">
      <c r="A68" s="28" t="str">
        <f>配置表!L67</f>
        <v/>
      </c>
      <c r="B68" s="9">
        <f>配置表!M67</f>
        <v>45805</v>
      </c>
      <c r="C68" s="10" t="str">
        <f>配置表!N67</f>
        <v>水</v>
      </c>
      <c r="D68" s="62" t="str">
        <f>配置表!O67</f>
        <v/>
      </c>
      <c r="E68" s="67" t="str">
        <f>配置表!P67</f>
        <v>テーマ展</v>
      </c>
      <c r="F68" s="44" t="str">
        <f>配置表!Q67</f>
        <v>○</v>
      </c>
      <c r="G68" s="45">
        <f>配置表!R67</f>
        <v>0</v>
      </c>
      <c r="H68" s="10" t="str">
        <f>配置表!S67</f>
        <v/>
      </c>
      <c r="I68" s="45">
        <f>配置表!T67</f>
        <v>0</v>
      </c>
      <c r="J68" s="10" t="str">
        <f>配置表!U67</f>
        <v>●</v>
      </c>
      <c r="K68" s="32">
        <f>配置表!V67</f>
        <v>0</v>
      </c>
      <c r="L68" s="33" t="str">
        <f>配置表!W67</f>
        <v/>
      </c>
      <c r="M68" s="8">
        <f>配置表!X67</f>
        <v>0</v>
      </c>
      <c r="N68" s="33" t="str">
        <f>配置表!Y67</f>
        <v>○</v>
      </c>
      <c r="O68" s="8">
        <f>配置表!Z67</f>
        <v>1</v>
      </c>
      <c r="P68" s="33" t="str">
        <f>配置表!AA67</f>
        <v>△</v>
      </c>
      <c r="Q68" s="227">
        <f>配置表!AB67</f>
        <v>0.41666666666666669</v>
      </c>
      <c r="R68" s="227">
        <f>配置表!AC67</f>
        <v>0.70833333333333337</v>
      </c>
      <c r="S68" s="238" t="str">
        <f>配置表!AD67</f>
        <v/>
      </c>
      <c r="T68" s="63"/>
      <c r="U68" s="4"/>
      <c r="V68" s="162"/>
      <c r="W68" s="162"/>
      <c r="X68" s="4"/>
      <c r="Y68" s="4"/>
      <c r="Z68" s="4"/>
      <c r="AA68" s="4"/>
      <c r="AB68" s="4"/>
      <c r="AC68" s="4"/>
    </row>
    <row r="69" spans="1:29">
      <c r="A69" s="28" t="str">
        <f>配置表!L68</f>
        <v/>
      </c>
      <c r="B69" s="9">
        <f>配置表!M68</f>
        <v>45806</v>
      </c>
      <c r="C69" s="10" t="str">
        <f>配置表!N68</f>
        <v>木</v>
      </c>
      <c r="D69" s="62" t="str">
        <f>配置表!O68</f>
        <v/>
      </c>
      <c r="E69" s="67" t="str">
        <f>配置表!P68</f>
        <v>テーマ展</v>
      </c>
      <c r="F69" s="44" t="str">
        <f>配置表!Q68</f>
        <v>○</v>
      </c>
      <c r="G69" s="45">
        <f>配置表!R68</f>
        <v>0</v>
      </c>
      <c r="H69" s="10" t="str">
        <f>配置表!S68</f>
        <v/>
      </c>
      <c r="I69" s="45">
        <f>配置表!T68</f>
        <v>0</v>
      </c>
      <c r="J69" s="10" t="str">
        <f>配置表!U68</f>
        <v>●</v>
      </c>
      <c r="K69" s="32">
        <f>配置表!V68</f>
        <v>0</v>
      </c>
      <c r="L69" s="33" t="str">
        <f>配置表!W68</f>
        <v/>
      </c>
      <c r="M69" s="8">
        <f>配置表!X68</f>
        <v>0</v>
      </c>
      <c r="N69" s="33" t="str">
        <f>配置表!Y68</f>
        <v>○</v>
      </c>
      <c r="O69" s="8">
        <f>配置表!Z68</f>
        <v>1</v>
      </c>
      <c r="P69" s="33" t="str">
        <f>配置表!AA68</f>
        <v>△</v>
      </c>
      <c r="Q69" s="227">
        <f>配置表!AB68</f>
        <v>0.41666666666666669</v>
      </c>
      <c r="R69" s="227">
        <f>配置表!AC68</f>
        <v>0.70833333333333337</v>
      </c>
      <c r="S69" s="238" t="str">
        <f>配置表!AD68</f>
        <v/>
      </c>
      <c r="T69" s="63"/>
    </row>
    <row r="70" spans="1:29">
      <c r="A70" s="28" t="str">
        <f>配置表!L69</f>
        <v/>
      </c>
      <c r="B70" s="9">
        <f>配置表!M69</f>
        <v>45807</v>
      </c>
      <c r="C70" s="10" t="str">
        <f>配置表!N69</f>
        <v>金</v>
      </c>
      <c r="D70" s="62" t="str">
        <f>配置表!O69</f>
        <v/>
      </c>
      <c r="E70" s="67" t="str">
        <f>配置表!P69</f>
        <v>テーマ展</v>
      </c>
      <c r="F70" s="44" t="str">
        <f>配置表!Q69</f>
        <v>○</v>
      </c>
      <c r="G70" s="45">
        <f>配置表!R69</f>
        <v>0</v>
      </c>
      <c r="H70" s="10" t="str">
        <f>配置表!S69</f>
        <v/>
      </c>
      <c r="I70" s="45">
        <f>配置表!T69</f>
        <v>0</v>
      </c>
      <c r="J70" s="10" t="str">
        <f>配置表!U69</f>
        <v>●</v>
      </c>
      <c r="K70" s="32">
        <f>配置表!V69</f>
        <v>0</v>
      </c>
      <c r="L70" s="33" t="str">
        <f>配置表!W69</f>
        <v/>
      </c>
      <c r="M70" s="8">
        <f>配置表!X69</f>
        <v>0</v>
      </c>
      <c r="N70" s="33" t="str">
        <f>配置表!Y69</f>
        <v>○</v>
      </c>
      <c r="O70" s="8">
        <f>配置表!Z69</f>
        <v>1</v>
      </c>
      <c r="P70" s="33" t="str">
        <f>配置表!AA69</f>
        <v>△</v>
      </c>
      <c r="Q70" s="227">
        <f>配置表!AB69</f>
        <v>0.41666666666666669</v>
      </c>
      <c r="R70" s="227">
        <f>配置表!AC69</f>
        <v>0.70833333333333337</v>
      </c>
      <c r="S70" s="238" t="str">
        <f>配置表!AD69</f>
        <v/>
      </c>
      <c r="T70" s="63"/>
    </row>
    <row r="71" spans="1:29" ht="12" thickBot="1">
      <c r="A71" s="28" t="str">
        <f>配置表!L70</f>
        <v/>
      </c>
      <c r="B71" s="29">
        <f>配置表!M70</f>
        <v>45808</v>
      </c>
      <c r="C71" s="22" t="str">
        <f>配置表!N70</f>
        <v>土</v>
      </c>
      <c r="D71" s="64" t="str">
        <f>配置表!O70</f>
        <v/>
      </c>
      <c r="E71" s="68" t="str">
        <f>配置表!P70</f>
        <v>テーマ展</v>
      </c>
      <c r="F71" s="40" t="str">
        <f>配置表!Q70</f>
        <v>○</v>
      </c>
      <c r="G71" s="41">
        <f>配置表!R70</f>
        <v>0</v>
      </c>
      <c r="H71" s="22" t="str">
        <f>配置表!S70</f>
        <v/>
      </c>
      <c r="I71" s="41">
        <f>配置表!T70</f>
        <v>0</v>
      </c>
      <c r="J71" s="22" t="str">
        <f>配置表!U70</f>
        <v>●</v>
      </c>
      <c r="K71" s="23">
        <f>配置表!V70</f>
        <v>0</v>
      </c>
      <c r="L71" s="34" t="str">
        <f>配置表!W70</f>
        <v/>
      </c>
      <c r="M71" s="27">
        <f>配置表!X70</f>
        <v>0</v>
      </c>
      <c r="N71" s="34" t="str">
        <f>配置表!Y70</f>
        <v>○</v>
      </c>
      <c r="O71" s="27">
        <f>配置表!Z70</f>
        <v>1</v>
      </c>
      <c r="P71" s="34" t="str">
        <f>配置表!AA70</f>
        <v>△</v>
      </c>
      <c r="Q71" s="233">
        <f>配置表!AB70</f>
        <v>0.41666666666666669</v>
      </c>
      <c r="R71" s="233">
        <f>配置表!AC70</f>
        <v>0.70833333333333337</v>
      </c>
      <c r="S71" s="239" t="str">
        <f>配置表!AD70</f>
        <v/>
      </c>
      <c r="T71" s="63"/>
    </row>
    <row r="72" spans="1:29" ht="14.25" thickBot="1">
      <c r="A72" s="28"/>
      <c r="B72" s="57"/>
      <c r="C72" s="50"/>
      <c r="D72" s="50"/>
      <c r="E72" s="50"/>
      <c r="F72" s="305">
        <f>COUNTIFS(F41:F71,"●")+COUNTIFS(F41:F71,"○")</f>
        <v>27</v>
      </c>
      <c r="G72" s="10"/>
      <c r="H72" s="10"/>
      <c r="I72" s="10"/>
      <c r="J72" s="10"/>
      <c r="K72" s="8"/>
      <c r="L72" s="10"/>
      <c r="M72" s="8"/>
      <c r="N72" s="10"/>
      <c r="O72" s="8"/>
      <c r="P72" s="10"/>
      <c r="Q72" s="63" t="str">
        <f>IF(ISERROR(VLOOKUP(B72,データ!$A$3:$C$19,2,FALSE)),"",VLOOKUP(B72,データ!$A$3:$C$19,2,FALSE))</f>
        <v/>
      </c>
      <c r="R72" s="63"/>
      <c r="S72" s="63"/>
      <c r="T72" s="63"/>
    </row>
    <row r="73" spans="1:29" customFormat="1" ht="27.75" customHeight="1" thickBot="1">
      <c r="A73" s="28"/>
      <c r="B73" s="58"/>
      <c r="C73" s="59"/>
      <c r="D73" s="42" t="s">
        <v>5</v>
      </c>
      <c r="E73" s="42" t="s">
        <v>6</v>
      </c>
      <c r="F73" s="49" t="s">
        <v>8</v>
      </c>
      <c r="G73" s="354" t="s">
        <v>13</v>
      </c>
      <c r="H73" s="355"/>
      <c r="I73" s="354" t="s">
        <v>14</v>
      </c>
      <c r="J73" s="355"/>
      <c r="K73" s="354" t="s">
        <v>9</v>
      </c>
      <c r="L73" s="355"/>
      <c r="M73" s="354" t="s">
        <v>10</v>
      </c>
      <c r="N73" s="355"/>
      <c r="O73" s="354" t="s">
        <v>1</v>
      </c>
      <c r="P73" s="355"/>
      <c r="Q73" s="38" t="s">
        <v>114</v>
      </c>
      <c r="R73" s="38" t="s">
        <v>35</v>
      </c>
      <c r="S73" s="38" t="s">
        <v>116</v>
      </c>
      <c r="T73" s="63"/>
      <c r="U73" s="149" t="s">
        <v>76</v>
      </c>
      <c r="V73" s="156"/>
      <c r="W73" s="156" t="s">
        <v>74</v>
      </c>
      <c r="X73" s="175" t="s">
        <v>60</v>
      </c>
      <c r="Y73" s="175" t="s">
        <v>70</v>
      </c>
      <c r="Z73" s="150" t="s">
        <v>71</v>
      </c>
      <c r="AA73" s="150" t="s">
        <v>61</v>
      </c>
      <c r="AB73" s="150" t="s">
        <v>62</v>
      </c>
      <c r="AC73" s="151" t="s">
        <v>63</v>
      </c>
    </row>
    <row r="74" spans="1:29" ht="13.5">
      <c r="A74" s="28" t="str">
        <f>配置表!L73</f>
        <v/>
      </c>
      <c r="B74" s="25">
        <f>配置表!M73</f>
        <v>45809</v>
      </c>
      <c r="C74" s="30" t="str">
        <f>配置表!N73</f>
        <v>日</v>
      </c>
      <c r="D74" s="62" t="str">
        <f>配置表!O73</f>
        <v/>
      </c>
      <c r="E74" s="63" t="str">
        <f>配置表!P73</f>
        <v>テーマ展</v>
      </c>
      <c r="F74" s="134" t="str">
        <f>配置表!Q73</f>
        <v>○</v>
      </c>
      <c r="G74" s="46">
        <f>配置表!R73</f>
        <v>0</v>
      </c>
      <c r="H74" s="24" t="str">
        <f>配置表!S73</f>
        <v/>
      </c>
      <c r="I74" s="46">
        <f>配置表!T73</f>
        <v>0</v>
      </c>
      <c r="J74" s="24" t="str">
        <f>配置表!U73</f>
        <v>●</v>
      </c>
      <c r="K74" s="35">
        <f>配置表!V73</f>
        <v>0</v>
      </c>
      <c r="L74" s="47" t="str">
        <f>配置表!W73</f>
        <v/>
      </c>
      <c r="M74" s="30">
        <f>配置表!X73</f>
        <v>0</v>
      </c>
      <c r="N74" s="47" t="str">
        <f>配置表!Y73</f>
        <v>○</v>
      </c>
      <c r="O74" s="30">
        <f>配置表!Z73</f>
        <v>1</v>
      </c>
      <c r="P74" s="47" t="str">
        <f>配置表!AA73</f>
        <v>△</v>
      </c>
      <c r="Q74" s="232">
        <f>配置表!AB73</f>
        <v>0.41666666666666669</v>
      </c>
      <c r="R74" s="232">
        <f>配置表!AC73</f>
        <v>0.70833333333333337</v>
      </c>
      <c r="S74" s="237" t="str">
        <f>配置表!AD73</f>
        <v/>
      </c>
      <c r="T74" s="63"/>
      <c r="U74" s="173" t="s">
        <v>88</v>
      </c>
      <c r="V74" s="156"/>
      <c r="W74" s="156"/>
      <c r="X74" s="176"/>
      <c r="Y74" s="177"/>
      <c r="Z74" s="181">
        <f>COUNTIF(F74:F104,V74)</f>
        <v>0</v>
      </c>
      <c r="AA74" s="174">
        <f>X74*Y74*Z74</f>
        <v>0</v>
      </c>
      <c r="AB74" s="181"/>
      <c r="AC74" s="315">
        <f>SUM(AA74*AB74)</f>
        <v>0</v>
      </c>
    </row>
    <row r="75" spans="1:29" ht="13.5">
      <c r="A75" s="28" t="str">
        <f>配置表!L74</f>
        <v>閉</v>
      </c>
      <c r="B75" s="9">
        <f>配置表!M74</f>
        <v>45810</v>
      </c>
      <c r="C75" s="8" t="str">
        <f>配置表!N74</f>
        <v>月</v>
      </c>
      <c r="D75" s="62" t="str">
        <f>配置表!O74</f>
        <v/>
      </c>
      <c r="E75" s="63" t="str">
        <f>配置表!P74</f>
        <v>テーマ展</v>
      </c>
      <c r="F75" s="44" t="str">
        <f>配置表!Q74</f>
        <v>休</v>
      </c>
      <c r="G75" s="8">
        <f>配置表!R74</f>
        <v>0</v>
      </c>
      <c r="H75" s="33" t="str">
        <f>配置表!S74</f>
        <v>休</v>
      </c>
      <c r="I75" s="8">
        <f>配置表!T74</f>
        <v>0</v>
      </c>
      <c r="J75" s="33" t="str">
        <f>配置表!U74</f>
        <v>休</v>
      </c>
      <c r="K75" s="8">
        <f>配置表!V74</f>
        <v>0</v>
      </c>
      <c r="L75" s="33" t="str">
        <f>配置表!W74</f>
        <v>休</v>
      </c>
      <c r="M75" s="8">
        <f>配置表!X74</f>
        <v>0</v>
      </c>
      <c r="N75" s="33" t="str">
        <f>配置表!Y74</f>
        <v>休</v>
      </c>
      <c r="O75" s="8" t="str">
        <f>配置表!Z74</f>
        <v/>
      </c>
      <c r="P75" s="33" t="str">
        <f>配置表!AA74</f>
        <v>休</v>
      </c>
      <c r="Q75" s="227" t="str">
        <f>配置表!AB74</f>
        <v/>
      </c>
      <c r="R75" s="227" t="str">
        <f>配置表!AC74</f>
        <v/>
      </c>
      <c r="S75" s="238" t="str">
        <f>配置表!AD74</f>
        <v/>
      </c>
      <c r="T75" s="63"/>
      <c r="U75" s="152" t="s">
        <v>88</v>
      </c>
      <c r="V75" s="155" t="s">
        <v>66</v>
      </c>
      <c r="W75" s="274" t="s">
        <v>126</v>
      </c>
      <c r="X75" s="275">
        <v>8.5</v>
      </c>
      <c r="Y75" s="158">
        <v>1</v>
      </c>
      <c r="Z75" s="182">
        <f>COUNTIF(F74:F104,V75)</f>
        <v>25</v>
      </c>
      <c r="AA75" s="154">
        <f t="shared" ref="AA75:AA90" si="4">X75*Y75*Z75</f>
        <v>212.5</v>
      </c>
      <c r="AB75" s="182">
        <f>AB$9</f>
        <v>0</v>
      </c>
      <c r="AC75" s="183">
        <f t="shared" ref="AC75:AC90" si="5">SUM(AA75*AB75)</f>
        <v>0</v>
      </c>
    </row>
    <row r="76" spans="1:29" ht="13.5">
      <c r="A76" s="28" t="str">
        <f>配置表!L75</f>
        <v/>
      </c>
      <c r="B76" s="9">
        <f>配置表!M75</f>
        <v>45811</v>
      </c>
      <c r="C76" s="8" t="str">
        <f>配置表!N75</f>
        <v>火</v>
      </c>
      <c r="D76" s="62" t="str">
        <f>配置表!O75</f>
        <v/>
      </c>
      <c r="E76" s="63" t="str">
        <f>配置表!P75</f>
        <v>テーマ展</v>
      </c>
      <c r="F76" s="44" t="str">
        <f>配置表!Q75</f>
        <v>○</v>
      </c>
      <c r="G76" s="45">
        <f>配置表!R75</f>
        <v>0</v>
      </c>
      <c r="H76" s="10" t="str">
        <f>配置表!S75</f>
        <v/>
      </c>
      <c r="I76" s="45">
        <f>配置表!T75</f>
        <v>0</v>
      </c>
      <c r="J76" s="10" t="str">
        <f>配置表!U75</f>
        <v>●</v>
      </c>
      <c r="K76" s="32">
        <f>配置表!V75</f>
        <v>0</v>
      </c>
      <c r="L76" s="33" t="str">
        <f>配置表!W75</f>
        <v/>
      </c>
      <c r="M76" s="8">
        <f>配置表!X75</f>
        <v>0</v>
      </c>
      <c r="N76" s="33" t="str">
        <f>配置表!Y75</f>
        <v>○</v>
      </c>
      <c r="O76" s="8">
        <f>配置表!Z75</f>
        <v>1</v>
      </c>
      <c r="P76" s="33" t="str">
        <f>配置表!AA75</f>
        <v>△</v>
      </c>
      <c r="Q76" s="227">
        <f>配置表!AB75</f>
        <v>0.41666666666666669</v>
      </c>
      <c r="R76" s="227">
        <f>配置表!AC75</f>
        <v>0.70833333333333337</v>
      </c>
      <c r="S76" s="238" t="str">
        <f>配置表!AD75</f>
        <v/>
      </c>
      <c r="T76" s="63"/>
      <c r="U76" s="152" t="s">
        <v>89</v>
      </c>
      <c r="V76" s="155" t="s">
        <v>66</v>
      </c>
      <c r="W76" s="155" t="s">
        <v>141</v>
      </c>
      <c r="X76" s="191">
        <v>5.25</v>
      </c>
      <c r="Y76" s="158">
        <v>1</v>
      </c>
      <c r="Z76" s="182">
        <f>COUNTIF(H74:H104,V76)</f>
        <v>8</v>
      </c>
      <c r="AA76" s="154">
        <f t="shared" si="4"/>
        <v>42</v>
      </c>
      <c r="AB76" s="182">
        <f>AB$10</f>
        <v>0</v>
      </c>
      <c r="AC76" s="183">
        <f t="shared" si="5"/>
        <v>0</v>
      </c>
    </row>
    <row r="77" spans="1:29" ht="13.5">
      <c r="A77" s="28" t="str">
        <f>配置表!L76</f>
        <v/>
      </c>
      <c r="B77" s="9">
        <f>配置表!M76</f>
        <v>45812</v>
      </c>
      <c r="C77" s="8" t="str">
        <f>配置表!N76</f>
        <v>水</v>
      </c>
      <c r="D77" s="62" t="str">
        <f>配置表!O76</f>
        <v/>
      </c>
      <c r="E77" s="63" t="str">
        <f>配置表!P76</f>
        <v>テーマ展</v>
      </c>
      <c r="F77" s="44" t="str">
        <f>配置表!Q76</f>
        <v>○</v>
      </c>
      <c r="G77" s="45">
        <f>配置表!R76</f>
        <v>0</v>
      </c>
      <c r="H77" s="10" t="str">
        <f>配置表!S76</f>
        <v/>
      </c>
      <c r="I77" s="45">
        <f>配置表!T76</f>
        <v>0</v>
      </c>
      <c r="J77" s="10" t="str">
        <f>配置表!U76</f>
        <v>●</v>
      </c>
      <c r="K77" s="32">
        <f>配置表!V76</f>
        <v>0</v>
      </c>
      <c r="L77" s="33" t="str">
        <f>配置表!W76</f>
        <v/>
      </c>
      <c r="M77" s="8">
        <f>配置表!X76</f>
        <v>0</v>
      </c>
      <c r="N77" s="33" t="str">
        <f>配置表!Y76</f>
        <v>○</v>
      </c>
      <c r="O77" s="8">
        <f>配置表!Z76</f>
        <v>1</v>
      </c>
      <c r="P77" s="33" t="str">
        <f>配置表!AA76</f>
        <v>△</v>
      </c>
      <c r="Q77" s="227">
        <f>配置表!AB76</f>
        <v>0.41666666666666669</v>
      </c>
      <c r="R77" s="227">
        <f>配置表!AC76</f>
        <v>0.70833333333333337</v>
      </c>
      <c r="S77" s="238" t="str">
        <f>配置表!AD76</f>
        <v/>
      </c>
      <c r="T77" s="63"/>
      <c r="U77" s="152"/>
      <c r="V77" s="155"/>
      <c r="W77" s="155"/>
      <c r="X77" s="153"/>
      <c r="Y77" s="158"/>
      <c r="Z77" s="182">
        <f>COUNTIF(H74:H104,V77)</f>
        <v>0</v>
      </c>
      <c r="AA77" s="154">
        <f t="shared" si="4"/>
        <v>0</v>
      </c>
      <c r="AB77" s="182"/>
      <c r="AC77" s="183">
        <f t="shared" si="5"/>
        <v>0</v>
      </c>
    </row>
    <row r="78" spans="1:29" ht="13.5">
      <c r="A78" s="28" t="str">
        <f>配置表!L77</f>
        <v/>
      </c>
      <c r="B78" s="9">
        <f>配置表!M77</f>
        <v>45813</v>
      </c>
      <c r="C78" s="8" t="str">
        <f>配置表!N77</f>
        <v>木</v>
      </c>
      <c r="D78" s="62" t="str">
        <f>配置表!O77</f>
        <v/>
      </c>
      <c r="E78" s="63" t="str">
        <f>配置表!P77</f>
        <v>テーマ展</v>
      </c>
      <c r="F78" s="44" t="str">
        <f>配置表!Q77</f>
        <v>○</v>
      </c>
      <c r="G78" s="45">
        <f>配置表!R77</f>
        <v>0</v>
      </c>
      <c r="H78" s="10" t="str">
        <f>配置表!S77</f>
        <v/>
      </c>
      <c r="I78" s="45">
        <f>配置表!T77</f>
        <v>0</v>
      </c>
      <c r="J78" s="10" t="str">
        <f>配置表!U77</f>
        <v>●</v>
      </c>
      <c r="K78" s="32">
        <f>配置表!V77</f>
        <v>0</v>
      </c>
      <c r="L78" s="33" t="str">
        <f>配置表!W77</f>
        <v/>
      </c>
      <c r="M78" s="8">
        <f>配置表!X77</f>
        <v>0</v>
      </c>
      <c r="N78" s="33" t="str">
        <f>配置表!Y77</f>
        <v>○</v>
      </c>
      <c r="O78" s="8">
        <f>配置表!Z77</f>
        <v>1</v>
      </c>
      <c r="P78" s="33" t="str">
        <f>配置表!AA77</f>
        <v>△</v>
      </c>
      <c r="Q78" s="227">
        <f>配置表!AB77</f>
        <v>0.41666666666666669</v>
      </c>
      <c r="R78" s="227">
        <f>配置表!AC77</f>
        <v>0.70833333333333337</v>
      </c>
      <c r="S78" s="238" t="str">
        <f>配置表!AD77</f>
        <v/>
      </c>
      <c r="T78" s="63"/>
      <c r="U78" s="152"/>
      <c r="V78" s="155"/>
      <c r="W78" s="155"/>
      <c r="X78" s="153"/>
      <c r="Y78" s="158"/>
      <c r="Z78" s="182">
        <f>COUNTIF(H74:H104,V78)</f>
        <v>0</v>
      </c>
      <c r="AA78" s="154">
        <f t="shared" si="4"/>
        <v>0</v>
      </c>
      <c r="AB78" s="182"/>
      <c r="AC78" s="183">
        <f t="shared" si="5"/>
        <v>0</v>
      </c>
    </row>
    <row r="79" spans="1:29" ht="13.5">
      <c r="A79" s="28" t="str">
        <f>配置表!L78</f>
        <v/>
      </c>
      <c r="B79" s="9">
        <f>配置表!M78</f>
        <v>45814</v>
      </c>
      <c r="C79" s="8" t="str">
        <f>配置表!N78</f>
        <v>金</v>
      </c>
      <c r="D79" s="62" t="str">
        <f>配置表!O78</f>
        <v/>
      </c>
      <c r="E79" s="63" t="str">
        <f>配置表!P78</f>
        <v>テーマ展</v>
      </c>
      <c r="F79" s="44" t="str">
        <f>配置表!Q78</f>
        <v>○</v>
      </c>
      <c r="G79" s="45">
        <f>配置表!R78</f>
        <v>0</v>
      </c>
      <c r="H79" s="10" t="str">
        <f>配置表!S78</f>
        <v/>
      </c>
      <c r="I79" s="45">
        <f>配置表!T78</f>
        <v>0</v>
      </c>
      <c r="J79" s="10" t="str">
        <f>配置表!U78</f>
        <v>●</v>
      </c>
      <c r="K79" s="32">
        <f>配置表!V78</f>
        <v>0</v>
      </c>
      <c r="L79" s="33" t="str">
        <f>配置表!W78</f>
        <v/>
      </c>
      <c r="M79" s="8">
        <f>配置表!X78</f>
        <v>0</v>
      </c>
      <c r="N79" s="33" t="str">
        <f>配置表!Y78</f>
        <v>○</v>
      </c>
      <c r="O79" s="8">
        <f>配置表!Z78</f>
        <v>1</v>
      </c>
      <c r="P79" s="33" t="str">
        <f>配置表!AA78</f>
        <v>△</v>
      </c>
      <c r="Q79" s="227">
        <f>配置表!AB78</f>
        <v>0.41666666666666669</v>
      </c>
      <c r="R79" s="227">
        <f>配置表!AC78</f>
        <v>0.70833333333333337</v>
      </c>
      <c r="S79" s="238" t="str">
        <f>配置表!AD78</f>
        <v/>
      </c>
      <c r="T79" s="63"/>
      <c r="U79" s="152" t="s">
        <v>90</v>
      </c>
      <c r="V79" s="155" t="s">
        <v>46</v>
      </c>
      <c r="W79" s="155" t="s">
        <v>142</v>
      </c>
      <c r="X79" s="191">
        <v>6.75</v>
      </c>
      <c r="Y79" s="158">
        <v>1</v>
      </c>
      <c r="Z79" s="182">
        <f>COUNTIF(J74:J104,V79)</f>
        <v>25</v>
      </c>
      <c r="AA79" s="154">
        <f t="shared" si="4"/>
        <v>168.75</v>
      </c>
      <c r="AB79" s="182">
        <f>AB$13</f>
        <v>0</v>
      </c>
      <c r="AC79" s="183">
        <f t="shared" si="5"/>
        <v>0</v>
      </c>
    </row>
    <row r="80" spans="1:29" ht="13.5">
      <c r="A80" s="28" t="str">
        <f>配置表!L79</f>
        <v/>
      </c>
      <c r="B80" s="9">
        <f>配置表!M79</f>
        <v>45815</v>
      </c>
      <c r="C80" s="8" t="str">
        <f>配置表!N79</f>
        <v>土</v>
      </c>
      <c r="D80" s="62" t="str">
        <f>配置表!O79</f>
        <v>夏　特別展</v>
      </c>
      <c r="E80" s="63" t="str">
        <f>配置表!P79</f>
        <v>テーマ展</v>
      </c>
      <c r="F80" s="44" t="str">
        <f>配置表!Q79</f>
        <v>○</v>
      </c>
      <c r="G80" s="45">
        <f>配置表!R79</f>
        <v>0</v>
      </c>
      <c r="H80" s="10" t="str">
        <f>配置表!S79</f>
        <v>○</v>
      </c>
      <c r="I80" s="45">
        <f>配置表!T79</f>
        <v>0</v>
      </c>
      <c r="J80" s="10" t="str">
        <f>配置表!U79</f>
        <v>●</v>
      </c>
      <c r="K80" s="32">
        <f>配置表!V79</f>
        <v>0</v>
      </c>
      <c r="L80" s="33" t="str">
        <f>配置表!W79</f>
        <v>◎</v>
      </c>
      <c r="M80" s="8">
        <f>配置表!X79</f>
        <v>0</v>
      </c>
      <c r="N80" s="33" t="str">
        <f>配置表!Y79</f>
        <v>○</v>
      </c>
      <c r="O80" s="8">
        <f>配置表!Z79</f>
        <v>5</v>
      </c>
      <c r="P80" s="33" t="str">
        <f>配置表!AA79</f>
        <v>○</v>
      </c>
      <c r="Q80" s="227">
        <f>配置表!AB79</f>
        <v>0.41666666666666669</v>
      </c>
      <c r="R80" s="227">
        <f>配置表!AC79</f>
        <v>0.70833333333333337</v>
      </c>
      <c r="S80" s="238" t="str">
        <f>配置表!AD79</f>
        <v/>
      </c>
      <c r="T80" s="63"/>
      <c r="U80" s="152"/>
      <c r="V80" s="155"/>
      <c r="W80" s="155"/>
      <c r="X80" s="153"/>
      <c r="Y80" s="158"/>
      <c r="Z80" s="182">
        <f>COUNTIF(J74:J104,V80)</f>
        <v>0</v>
      </c>
      <c r="AA80" s="154">
        <f t="shared" si="4"/>
        <v>0</v>
      </c>
      <c r="AB80" s="182"/>
      <c r="AC80" s="183">
        <f t="shared" si="5"/>
        <v>0</v>
      </c>
    </row>
    <row r="81" spans="1:30" ht="13.5">
      <c r="A81" s="28" t="str">
        <f>配置表!L80</f>
        <v/>
      </c>
      <c r="B81" s="9">
        <f>配置表!M80</f>
        <v>45816</v>
      </c>
      <c r="C81" s="8" t="str">
        <f>配置表!N80</f>
        <v>日</v>
      </c>
      <c r="D81" s="62" t="str">
        <f>配置表!O80</f>
        <v>夏　特別展</v>
      </c>
      <c r="E81" s="63" t="str">
        <f>配置表!P80</f>
        <v>テーマ展</v>
      </c>
      <c r="F81" s="44" t="str">
        <f>配置表!Q80</f>
        <v>○</v>
      </c>
      <c r="G81" s="45">
        <f>配置表!R80</f>
        <v>0</v>
      </c>
      <c r="H81" s="10" t="str">
        <f>配置表!S80</f>
        <v>○</v>
      </c>
      <c r="I81" s="45">
        <f>配置表!T80</f>
        <v>0</v>
      </c>
      <c r="J81" s="10" t="str">
        <f>配置表!U80</f>
        <v>●</v>
      </c>
      <c r="K81" s="32">
        <f>配置表!V80</f>
        <v>0</v>
      </c>
      <c r="L81" s="33" t="str">
        <f>配置表!W80</f>
        <v>◎</v>
      </c>
      <c r="M81" s="8">
        <f>配置表!X80</f>
        <v>0</v>
      </c>
      <c r="N81" s="33" t="str">
        <f>配置表!Y80</f>
        <v>○</v>
      </c>
      <c r="O81" s="8">
        <f>配置表!Z80</f>
        <v>5</v>
      </c>
      <c r="P81" s="33" t="str">
        <f>配置表!AA80</f>
        <v>○</v>
      </c>
      <c r="Q81" s="227">
        <f>配置表!AB80</f>
        <v>0.41666666666666669</v>
      </c>
      <c r="R81" s="227">
        <f>配置表!AC80</f>
        <v>0.70833333333333337</v>
      </c>
      <c r="S81" s="238" t="str">
        <f>配置表!AD80</f>
        <v/>
      </c>
      <c r="T81" s="63"/>
      <c r="U81" s="152" t="s">
        <v>91</v>
      </c>
      <c r="V81" s="155" t="s">
        <v>66</v>
      </c>
      <c r="W81" s="155" t="s">
        <v>141</v>
      </c>
      <c r="X81" s="191">
        <v>5.25</v>
      </c>
      <c r="Y81" s="158">
        <v>1</v>
      </c>
      <c r="Z81" s="186">
        <f>COUNTIF(L74:L104,V81)</f>
        <v>12</v>
      </c>
      <c r="AA81" s="154">
        <f t="shared" si="4"/>
        <v>63</v>
      </c>
      <c r="AB81" s="182">
        <f>AB$15</f>
        <v>0</v>
      </c>
      <c r="AC81" s="183">
        <f t="shared" si="5"/>
        <v>0</v>
      </c>
    </row>
    <row r="82" spans="1:30" ht="13.5">
      <c r="A82" s="28" t="str">
        <f>配置表!L81</f>
        <v>閉</v>
      </c>
      <c r="B82" s="9">
        <f>配置表!M81</f>
        <v>45817</v>
      </c>
      <c r="C82" s="8" t="str">
        <f>配置表!N81</f>
        <v>月</v>
      </c>
      <c r="D82" s="62" t="str">
        <f>配置表!O81</f>
        <v>夏　特別展</v>
      </c>
      <c r="E82" s="63" t="str">
        <f>配置表!P81</f>
        <v>テーマ展</v>
      </c>
      <c r="F82" s="44" t="str">
        <f>配置表!Q81</f>
        <v>休</v>
      </c>
      <c r="G82" s="8">
        <f>配置表!R81</f>
        <v>0</v>
      </c>
      <c r="H82" s="33" t="str">
        <f>配置表!S81</f>
        <v>休</v>
      </c>
      <c r="I82" s="8">
        <f>配置表!T81</f>
        <v>0</v>
      </c>
      <c r="J82" s="33" t="str">
        <f>配置表!U81</f>
        <v>休</v>
      </c>
      <c r="K82" s="8">
        <f>配置表!V81</f>
        <v>0</v>
      </c>
      <c r="L82" s="33" t="str">
        <f>配置表!W81</f>
        <v>休</v>
      </c>
      <c r="M82" s="8">
        <f>配置表!X81</f>
        <v>0</v>
      </c>
      <c r="N82" s="33" t="str">
        <f>配置表!Y81</f>
        <v>休</v>
      </c>
      <c r="O82" s="8" t="str">
        <f>配置表!Z81</f>
        <v/>
      </c>
      <c r="P82" s="33" t="str">
        <f>配置表!AA81</f>
        <v>休</v>
      </c>
      <c r="Q82" s="227" t="str">
        <f>配置表!AB81</f>
        <v/>
      </c>
      <c r="R82" s="227" t="str">
        <f>配置表!AC81</f>
        <v/>
      </c>
      <c r="S82" s="238" t="str">
        <f>配置表!AD81</f>
        <v/>
      </c>
      <c r="T82" s="63"/>
      <c r="U82" s="152" t="s">
        <v>18</v>
      </c>
      <c r="V82" s="155" t="s">
        <v>15</v>
      </c>
      <c r="W82" s="155" t="s">
        <v>153</v>
      </c>
      <c r="X82" s="153">
        <v>5</v>
      </c>
      <c r="Y82" s="158">
        <v>1</v>
      </c>
      <c r="Z82" s="186">
        <f>COUNTIF(L74:L104,V82)</f>
        <v>8</v>
      </c>
      <c r="AA82" s="154">
        <f t="shared" si="4"/>
        <v>40</v>
      </c>
      <c r="AB82" s="182">
        <f>AB$16</f>
        <v>0</v>
      </c>
      <c r="AC82" s="183">
        <f t="shared" si="5"/>
        <v>0</v>
      </c>
    </row>
    <row r="83" spans="1:30" ht="13.5">
      <c r="A83" s="28" t="str">
        <f>配置表!L82</f>
        <v/>
      </c>
      <c r="B83" s="9">
        <f>配置表!M82</f>
        <v>45818</v>
      </c>
      <c r="C83" s="8" t="str">
        <f>配置表!N82</f>
        <v>火</v>
      </c>
      <c r="D83" s="62" t="str">
        <f>配置表!O82</f>
        <v>夏　特別展</v>
      </c>
      <c r="E83" s="63" t="str">
        <f>配置表!P82</f>
        <v>テーマ展</v>
      </c>
      <c r="F83" s="44" t="str">
        <f>配置表!Q82</f>
        <v>○</v>
      </c>
      <c r="G83" s="45">
        <f>配置表!R82</f>
        <v>0</v>
      </c>
      <c r="H83" s="10" t="str">
        <f>配置表!S82</f>
        <v/>
      </c>
      <c r="I83" s="45">
        <f>配置表!T82</f>
        <v>0</v>
      </c>
      <c r="J83" s="10" t="str">
        <f>配置表!U82</f>
        <v>●</v>
      </c>
      <c r="K83" s="32">
        <f>配置表!V82</f>
        <v>0</v>
      </c>
      <c r="L83" s="33" t="str">
        <f>配置表!W82</f>
        <v>○</v>
      </c>
      <c r="M83" s="8">
        <f>配置表!X82</f>
        <v>0</v>
      </c>
      <c r="N83" s="33" t="str">
        <f>配置表!Y82</f>
        <v>○</v>
      </c>
      <c r="O83" s="8">
        <f>配置表!Z82</f>
        <v>5</v>
      </c>
      <c r="P83" s="33" t="str">
        <f>配置表!AA82</f>
        <v>○</v>
      </c>
      <c r="Q83" s="227">
        <f>配置表!AB82</f>
        <v>0.41666666666666669</v>
      </c>
      <c r="R83" s="227">
        <f>配置表!AC82</f>
        <v>0.70833333333333337</v>
      </c>
      <c r="S83" s="238" t="str">
        <f>配置表!AD82</f>
        <v/>
      </c>
      <c r="T83" s="63"/>
      <c r="U83" s="152"/>
      <c r="V83" s="155"/>
      <c r="W83" s="155"/>
      <c r="X83" s="153"/>
      <c r="Y83" s="158"/>
      <c r="Z83" s="186">
        <f>COUNTIF(N74:N104,V83)</f>
        <v>0</v>
      </c>
      <c r="AA83" s="154">
        <f t="shared" si="4"/>
        <v>0</v>
      </c>
      <c r="AB83" s="182"/>
      <c r="AC83" s="183">
        <f t="shared" si="5"/>
        <v>0</v>
      </c>
    </row>
    <row r="84" spans="1:30" ht="13.5">
      <c r="A84" s="28" t="str">
        <f>配置表!L83</f>
        <v/>
      </c>
      <c r="B84" s="9">
        <f>配置表!M83</f>
        <v>45819</v>
      </c>
      <c r="C84" s="8" t="str">
        <f>配置表!N83</f>
        <v>水</v>
      </c>
      <c r="D84" s="62" t="str">
        <f>配置表!O83</f>
        <v>夏　特別展</v>
      </c>
      <c r="E84" s="63" t="str">
        <f>配置表!P83</f>
        <v>テーマ展</v>
      </c>
      <c r="F84" s="44" t="str">
        <f>配置表!Q83</f>
        <v>○</v>
      </c>
      <c r="G84" s="45">
        <f>配置表!R83</f>
        <v>0</v>
      </c>
      <c r="H84" s="10" t="str">
        <f>配置表!S83</f>
        <v/>
      </c>
      <c r="I84" s="45">
        <f>配置表!T83</f>
        <v>0</v>
      </c>
      <c r="J84" s="10" t="str">
        <f>配置表!U83</f>
        <v>●</v>
      </c>
      <c r="K84" s="32">
        <f>配置表!V83</f>
        <v>0</v>
      </c>
      <c r="L84" s="33" t="str">
        <f>配置表!W83</f>
        <v>○</v>
      </c>
      <c r="M84" s="8">
        <f>配置表!X83</f>
        <v>0</v>
      </c>
      <c r="N84" s="33" t="str">
        <f>配置表!Y83</f>
        <v>○</v>
      </c>
      <c r="O84" s="8">
        <f>配置表!Z83</f>
        <v>5</v>
      </c>
      <c r="P84" s="33" t="str">
        <f>配置表!AA83</f>
        <v>○</v>
      </c>
      <c r="Q84" s="227">
        <f>配置表!AB83</f>
        <v>0.41666666666666669</v>
      </c>
      <c r="R84" s="227">
        <f>配置表!AC83</f>
        <v>0.70833333333333337</v>
      </c>
      <c r="S84" s="238" t="str">
        <f>配置表!AD83</f>
        <v/>
      </c>
      <c r="T84" s="63"/>
      <c r="U84" s="152"/>
      <c r="V84" s="155"/>
      <c r="W84" s="274"/>
      <c r="X84" s="275"/>
      <c r="Y84" s="158"/>
      <c r="Z84" s="186">
        <f>COUNTIF(N74:N104,V84)</f>
        <v>0</v>
      </c>
      <c r="AA84" s="154">
        <f t="shared" si="4"/>
        <v>0</v>
      </c>
      <c r="AB84" s="182"/>
      <c r="AC84" s="183">
        <f t="shared" si="5"/>
        <v>0</v>
      </c>
    </row>
    <row r="85" spans="1:30" ht="13.5">
      <c r="A85" s="28" t="str">
        <f>配置表!L84</f>
        <v/>
      </c>
      <c r="B85" s="9">
        <f>配置表!M84</f>
        <v>45820</v>
      </c>
      <c r="C85" s="8" t="str">
        <f>配置表!N84</f>
        <v>木</v>
      </c>
      <c r="D85" s="62" t="str">
        <f>配置表!O84</f>
        <v>夏　特別展</v>
      </c>
      <c r="E85" s="63" t="str">
        <f>配置表!P84</f>
        <v>テーマ展</v>
      </c>
      <c r="F85" s="44" t="str">
        <f>配置表!Q84</f>
        <v>○</v>
      </c>
      <c r="G85" s="45">
        <f>配置表!R84</f>
        <v>0</v>
      </c>
      <c r="H85" s="10" t="str">
        <f>配置表!S84</f>
        <v/>
      </c>
      <c r="I85" s="45">
        <f>配置表!T84</f>
        <v>0</v>
      </c>
      <c r="J85" s="10" t="str">
        <f>配置表!U84</f>
        <v>●</v>
      </c>
      <c r="K85" s="32">
        <f>配置表!V84</f>
        <v>0</v>
      </c>
      <c r="L85" s="33" t="str">
        <f>配置表!W84</f>
        <v>○</v>
      </c>
      <c r="M85" s="8">
        <f>配置表!X84</f>
        <v>0</v>
      </c>
      <c r="N85" s="33" t="str">
        <f>配置表!Y84</f>
        <v>○</v>
      </c>
      <c r="O85" s="8">
        <f>配置表!Z84</f>
        <v>5</v>
      </c>
      <c r="P85" s="33" t="str">
        <f>配置表!AA84</f>
        <v>○</v>
      </c>
      <c r="Q85" s="227">
        <f>配置表!AB84</f>
        <v>0.41666666666666669</v>
      </c>
      <c r="R85" s="227">
        <f>配置表!AC84</f>
        <v>0.70833333333333337</v>
      </c>
      <c r="S85" s="238" t="str">
        <f>配置表!AD84</f>
        <v/>
      </c>
      <c r="T85" s="63"/>
      <c r="U85" s="152" t="s">
        <v>19</v>
      </c>
      <c r="V85" s="155" t="s">
        <v>66</v>
      </c>
      <c r="W85" s="274" t="s">
        <v>127</v>
      </c>
      <c r="X85" s="275">
        <v>7.5</v>
      </c>
      <c r="Y85" s="158">
        <v>1</v>
      </c>
      <c r="Z85" s="186">
        <f>COUNTIF(N74:N104,V85)</f>
        <v>25</v>
      </c>
      <c r="AA85" s="154">
        <f t="shared" si="4"/>
        <v>187.5</v>
      </c>
      <c r="AB85" s="182">
        <f>AB$19</f>
        <v>0</v>
      </c>
      <c r="AC85" s="183">
        <f t="shared" si="5"/>
        <v>0</v>
      </c>
    </row>
    <row r="86" spans="1:30" ht="13.5">
      <c r="A86" s="28" t="str">
        <f>配置表!L85</f>
        <v/>
      </c>
      <c r="B86" s="9">
        <f>配置表!M85</f>
        <v>45821</v>
      </c>
      <c r="C86" s="8" t="str">
        <f>配置表!N85</f>
        <v>金</v>
      </c>
      <c r="D86" s="62" t="str">
        <f>配置表!O85</f>
        <v>夏　特別展</v>
      </c>
      <c r="E86" s="63" t="str">
        <f>配置表!P85</f>
        <v>テーマ展</v>
      </c>
      <c r="F86" s="44" t="str">
        <f>配置表!Q85</f>
        <v>○</v>
      </c>
      <c r="G86" s="45">
        <f>配置表!R85</f>
        <v>0</v>
      </c>
      <c r="H86" s="10" t="str">
        <f>配置表!S85</f>
        <v/>
      </c>
      <c r="I86" s="45">
        <f>配置表!T85</f>
        <v>0</v>
      </c>
      <c r="J86" s="10" t="str">
        <f>配置表!U85</f>
        <v>●</v>
      </c>
      <c r="K86" s="32">
        <f>配置表!V85</f>
        <v>0</v>
      </c>
      <c r="L86" s="33" t="str">
        <f>配置表!W85</f>
        <v>○</v>
      </c>
      <c r="M86" s="8">
        <f>配置表!X85</f>
        <v>0</v>
      </c>
      <c r="N86" s="33" t="str">
        <f>配置表!Y85</f>
        <v>○</v>
      </c>
      <c r="O86" s="8">
        <f>配置表!Z85</f>
        <v>5</v>
      </c>
      <c r="P86" s="33" t="str">
        <f>配置表!AA85</f>
        <v>○</v>
      </c>
      <c r="Q86" s="227">
        <f>配置表!AB85</f>
        <v>0.41666666666666669</v>
      </c>
      <c r="R86" s="227">
        <f>配置表!AC85</f>
        <v>0.70833333333333337</v>
      </c>
      <c r="S86" s="238" t="str">
        <f>配置表!AD85</f>
        <v/>
      </c>
      <c r="T86" s="63"/>
      <c r="U86" s="152"/>
      <c r="V86" s="155"/>
      <c r="W86" s="155"/>
      <c r="X86" s="153"/>
      <c r="Y86" s="158"/>
      <c r="Z86" s="186">
        <f>COUNTIF(P74:P104,V86)</f>
        <v>0</v>
      </c>
      <c r="AA86" s="154">
        <f t="shared" si="4"/>
        <v>0</v>
      </c>
      <c r="AB86" s="182"/>
      <c r="AC86" s="183">
        <f t="shared" si="5"/>
        <v>0</v>
      </c>
    </row>
    <row r="87" spans="1:30" ht="13.5">
      <c r="A87" s="28" t="str">
        <f>配置表!L86</f>
        <v/>
      </c>
      <c r="B87" s="9">
        <f>配置表!M86</f>
        <v>45822</v>
      </c>
      <c r="C87" s="8" t="str">
        <f>配置表!N86</f>
        <v>土</v>
      </c>
      <c r="D87" s="62" t="str">
        <f>配置表!O86</f>
        <v>夏　特別展</v>
      </c>
      <c r="E87" s="63" t="str">
        <f>配置表!P86</f>
        <v>テーマ展</v>
      </c>
      <c r="F87" s="44" t="str">
        <f>配置表!Q86</f>
        <v>○</v>
      </c>
      <c r="G87" s="45">
        <f>配置表!R86</f>
        <v>0</v>
      </c>
      <c r="H87" s="10" t="str">
        <f>配置表!S86</f>
        <v>○</v>
      </c>
      <c r="I87" s="45">
        <f>配置表!T86</f>
        <v>0</v>
      </c>
      <c r="J87" s="10" t="str">
        <f>配置表!U86</f>
        <v>●</v>
      </c>
      <c r="K87" s="32">
        <f>配置表!V86</f>
        <v>0</v>
      </c>
      <c r="L87" s="33" t="str">
        <f>配置表!W86</f>
        <v>◎</v>
      </c>
      <c r="M87" s="8">
        <f>配置表!X86</f>
        <v>0</v>
      </c>
      <c r="N87" s="33" t="str">
        <f>配置表!Y86</f>
        <v>○</v>
      </c>
      <c r="O87" s="8">
        <f>配置表!Z86</f>
        <v>5</v>
      </c>
      <c r="P87" s="33" t="str">
        <f>配置表!AA86</f>
        <v>○</v>
      </c>
      <c r="Q87" s="227">
        <f>配置表!AB86</f>
        <v>0.41666666666666669</v>
      </c>
      <c r="R87" s="227">
        <f>配置表!AC86</f>
        <v>0.70833333333333337</v>
      </c>
      <c r="S87" s="238" t="str">
        <f>配置表!AD86</f>
        <v/>
      </c>
      <c r="T87" s="63"/>
      <c r="U87" s="152"/>
      <c r="V87" s="155"/>
      <c r="W87" s="274"/>
      <c r="X87" s="275"/>
      <c r="Y87" s="158"/>
      <c r="Z87" s="182">
        <f>COUNTIF(P74:P104,V87)</f>
        <v>0</v>
      </c>
      <c r="AA87" s="154">
        <f t="shared" si="4"/>
        <v>0</v>
      </c>
      <c r="AB87" s="182"/>
      <c r="AC87" s="183">
        <f t="shared" si="5"/>
        <v>0</v>
      </c>
    </row>
    <row r="88" spans="1:30" ht="13.5">
      <c r="A88" s="28" t="str">
        <f>配置表!L87</f>
        <v/>
      </c>
      <c r="B88" s="9">
        <f>配置表!M87</f>
        <v>45823</v>
      </c>
      <c r="C88" s="8" t="str">
        <f>配置表!N87</f>
        <v>日</v>
      </c>
      <c r="D88" s="62" t="str">
        <f>配置表!O87</f>
        <v>夏　特別展</v>
      </c>
      <c r="E88" s="63" t="str">
        <f>配置表!P87</f>
        <v>テーマ展</v>
      </c>
      <c r="F88" s="44" t="str">
        <f>配置表!Q87</f>
        <v>○</v>
      </c>
      <c r="G88" s="45">
        <f>配置表!R87</f>
        <v>0</v>
      </c>
      <c r="H88" s="10" t="str">
        <f>配置表!S87</f>
        <v>○</v>
      </c>
      <c r="I88" s="45">
        <f>配置表!T87</f>
        <v>0</v>
      </c>
      <c r="J88" s="10" t="str">
        <f>配置表!U87</f>
        <v>●</v>
      </c>
      <c r="K88" s="32">
        <f>配置表!V87</f>
        <v>0</v>
      </c>
      <c r="L88" s="33" t="str">
        <f>配置表!W87</f>
        <v>◎</v>
      </c>
      <c r="M88" s="8">
        <f>配置表!X87</f>
        <v>0</v>
      </c>
      <c r="N88" s="33" t="str">
        <f>配置表!Y87</f>
        <v>○</v>
      </c>
      <c r="O88" s="8">
        <f>配置表!Z87</f>
        <v>5</v>
      </c>
      <c r="P88" s="33" t="str">
        <f>配置表!AA87</f>
        <v>○</v>
      </c>
      <c r="Q88" s="227">
        <f>配置表!AB87</f>
        <v>0.41666666666666669</v>
      </c>
      <c r="R88" s="227">
        <f>配置表!AC87</f>
        <v>0.70833333333333337</v>
      </c>
      <c r="S88" s="238" t="str">
        <f>配置表!AD87</f>
        <v/>
      </c>
      <c r="T88" s="63"/>
      <c r="U88" s="152" t="s">
        <v>69</v>
      </c>
      <c r="V88" s="155" t="s">
        <v>66</v>
      </c>
      <c r="W88" s="274" t="s">
        <v>127</v>
      </c>
      <c r="X88" s="275">
        <v>7.5</v>
      </c>
      <c r="Y88" s="158">
        <v>5</v>
      </c>
      <c r="Z88" s="182">
        <f>COUNTIF(P74:P104,V88)</f>
        <v>20</v>
      </c>
      <c r="AA88" s="154">
        <f t="shared" si="4"/>
        <v>750</v>
      </c>
      <c r="AB88" s="182">
        <f>AB$22</f>
        <v>0</v>
      </c>
      <c r="AC88" s="183">
        <f t="shared" si="5"/>
        <v>0</v>
      </c>
    </row>
    <row r="89" spans="1:30" ht="13.5">
      <c r="A89" s="28" t="str">
        <f>配置表!L88</f>
        <v>閉</v>
      </c>
      <c r="B89" s="9">
        <f>配置表!M88</f>
        <v>45824</v>
      </c>
      <c r="C89" s="8" t="str">
        <f>配置表!N88</f>
        <v>月</v>
      </c>
      <c r="D89" s="62" t="str">
        <f>配置表!O88</f>
        <v>夏　特別展</v>
      </c>
      <c r="E89" s="63" t="str">
        <f>配置表!P88</f>
        <v>テーマ展</v>
      </c>
      <c r="F89" s="44" t="str">
        <f>配置表!Q88</f>
        <v>休</v>
      </c>
      <c r="G89" s="8">
        <f>配置表!R88</f>
        <v>0</v>
      </c>
      <c r="H89" s="10" t="str">
        <f>配置表!S88</f>
        <v>休</v>
      </c>
      <c r="I89" s="8">
        <f>配置表!T88</f>
        <v>0</v>
      </c>
      <c r="J89" s="33" t="str">
        <f>配置表!U88</f>
        <v>休</v>
      </c>
      <c r="K89" s="8">
        <f>配置表!V88</f>
        <v>0</v>
      </c>
      <c r="L89" s="33" t="str">
        <f>配置表!W88</f>
        <v>休</v>
      </c>
      <c r="M89" s="8">
        <f>配置表!X88</f>
        <v>0</v>
      </c>
      <c r="N89" s="33" t="str">
        <f>配置表!Y88</f>
        <v>休</v>
      </c>
      <c r="O89" s="8" t="str">
        <f>配置表!Z88</f>
        <v/>
      </c>
      <c r="P89" s="33" t="str">
        <f>配置表!AA88</f>
        <v>休</v>
      </c>
      <c r="Q89" s="227" t="str">
        <f>配置表!AB88</f>
        <v/>
      </c>
      <c r="R89" s="227" t="str">
        <f>配置表!AC88</f>
        <v/>
      </c>
      <c r="S89" s="238" t="str">
        <f>配置表!AD88</f>
        <v/>
      </c>
      <c r="T89" s="63"/>
      <c r="U89" s="187" t="s">
        <v>69</v>
      </c>
      <c r="V89" s="155" t="s">
        <v>75</v>
      </c>
      <c r="W89" s="274" t="s">
        <v>127</v>
      </c>
      <c r="X89" s="275">
        <v>7.5</v>
      </c>
      <c r="Y89" s="158">
        <v>1</v>
      </c>
      <c r="Z89" s="186">
        <f>COUNTIF(P74:P104,V89)+Z90</f>
        <v>5</v>
      </c>
      <c r="AA89" s="154">
        <f t="shared" si="4"/>
        <v>37.5</v>
      </c>
      <c r="AB89" s="182">
        <f>AB56</f>
        <v>0</v>
      </c>
      <c r="AC89" s="183">
        <f t="shared" si="5"/>
        <v>0</v>
      </c>
      <c r="AD89" s="1" t="s">
        <v>95</v>
      </c>
    </row>
    <row r="90" spans="1:30" ht="13.5">
      <c r="A90" s="28" t="str">
        <f>配置表!L89</f>
        <v/>
      </c>
      <c r="B90" s="9">
        <f>配置表!M89</f>
        <v>45825</v>
      </c>
      <c r="C90" s="8" t="str">
        <f>配置表!N89</f>
        <v>火</v>
      </c>
      <c r="D90" s="62" t="str">
        <f>配置表!O89</f>
        <v>夏　特別展</v>
      </c>
      <c r="E90" s="63" t="str">
        <f>配置表!P89</f>
        <v>テーマ展</v>
      </c>
      <c r="F90" s="44" t="str">
        <f>配置表!Q89</f>
        <v>○</v>
      </c>
      <c r="G90" s="45">
        <f>配置表!R89</f>
        <v>0</v>
      </c>
      <c r="H90" s="10" t="str">
        <f>配置表!S89</f>
        <v/>
      </c>
      <c r="I90" s="45">
        <f>配置表!T89</f>
        <v>0</v>
      </c>
      <c r="J90" s="10" t="str">
        <f>配置表!U89</f>
        <v>●</v>
      </c>
      <c r="K90" s="32">
        <f>配置表!V89</f>
        <v>0</v>
      </c>
      <c r="L90" s="33" t="str">
        <f>配置表!W89</f>
        <v>○</v>
      </c>
      <c r="M90" s="8">
        <f>配置表!X89</f>
        <v>0</v>
      </c>
      <c r="N90" s="33" t="str">
        <f>配置表!Y89</f>
        <v>○</v>
      </c>
      <c r="O90" s="8">
        <f>配置表!Z89</f>
        <v>5</v>
      </c>
      <c r="P90" s="33" t="str">
        <f>配置表!AA89</f>
        <v>○</v>
      </c>
      <c r="Q90" s="227">
        <f>配置表!AB89</f>
        <v>0.41666666666666669</v>
      </c>
      <c r="R90" s="227">
        <f>配置表!AC89</f>
        <v>0.70833333333333337</v>
      </c>
      <c r="S90" s="238" t="str">
        <f>配置表!AD89</f>
        <v/>
      </c>
      <c r="T90" s="63"/>
      <c r="U90" s="152" t="s">
        <v>69</v>
      </c>
      <c r="V90" s="155" t="s">
        <v>93</v>
      </c>
      <c r="W90" s="155" t="s">
        <v>154</v>
      </c>
      <c r="X90" s="191">
        <v>2.75</v>
      </c>
      <c r="Y90" s="158">
        <v>4</v>
      </c>
      <c r="Z90" s="186">
        <f>COUNTIF(P74:P104,V90)</f>
        <v>0</v>
      </c>
      <c r="AA90" s="154">
        <f t="shared" si="4"/>
        <v>0</v>
      </c>
      <c r="AB90" s="182"/>
      <c r="AC90" s="183">
        <f t="shared" si="5"/>
        <v>0</v>
      </c>
    </row>
    <row r="91" spans="1:30" ht="13.5">
      <c r="A91" s="28" t="str">
        <f>配置表!L90</f>
        <v/>
      </c>
      <c r="B91" s="9">
        <f>配置表!M90</f>
        <v>45826</v>
      </c>
      <c r="C91" s="8" t="str">
        <f>配置表!N90</f>
        <v>水</v>
      </c>
      <c r="D91" s="62" t="str">
        <f>配置表!O90</f>
        <v>夏　特別展</v>
      </c>
      <c r="E91" s="63" t="str">
        <f>配置表!P90</f>
        <v>テーマ展</v>
      </c>
      <c r="F91" s="44" t="str">
        <f>配置表!Q90</f>
        <v>○</v>
      </c>
      <c r="G91" s="45">
        <f>配置表!R90</f>
        <v>0</v>
      </c>
      <c r="H91" s="10" t="str">
        <f>配置表!S90</f>
        <v/>
      </c>
      <c r="I91" s="45">
        <f>配置表!T90</f>
        <v>0</v>
      </c>
      <c r="J91" s="10" t="str">
        <f>配置表!U90</f>
        <v>●</v>
      </c>
      <c r="K91" s="32">
        <f>配置表!V90</f>
        <v>0</v>
      </c>
      <c r="L91" s="33" t="str">
        <f>配置表!W90</f>
        <v>○</v>
      </c>
      <c r="M91" s="8">
        <f>配置表!X90</f>
        <v>0</v>
      </c>
      <c r="N91" s="33" t="str">
        <f>配置表!Y90</f>
        <v>○</v>
      </c>
      <c r="O91" s="8">
        <f>配置表!Z90</f>
        <v>5</v>
      </c>
      <c r="P91" s="33" t="str">
        <f>配置表!AA90</f>
        <v>○</v>
      </c>
      <c r="Q91" s="227">
        <f>配置表!AB90</f>
        <v>0.41666666666666669</v>
      </c>
      <c r="R91" s="227">
        <f>配置表!AC90</f>
        <v>0.70833333333333337</v>
      </c>
      <c r="S91" s="238" t="str">
        <f>配置表!AD90</f>
        <v/>
      </c>
      <c r="T91" s="63"/>
      <c r="U91" s="159" t="s">
        <v>64</v>
      </c>
      <c r="V91" s="160"/>
      <c r="W91" s="160"/>
      <c r="X91" s="188"/>
      <c r="Y91" s="188"/>
      <c r="Z91" s="189">
        <f>SUM(Z74:Z90)</f>
        <v>128</v>
      </c>
      <c r="AA91" s="190">
        <f>SUM(AA74:AA90)</f>
        <v>1501.25</v>
      </c>
      <c r="AB91" s="182"/>
      <c r="AC91" s="183">
        <f>SUM(AC74:AC90)</f>
        <v>0</v>
      </c>
    </row>
    <row r="92" spans="1:30" ht="14.25" thickBot="1">
      <c r="A92" s="28" t="str">
        <f>配置表!L91</f>
        <v/>
      </c>
      <c r="B92" s="9">
        <f>配置表!M91</f>
        <v>45827</v>
      </c>
      <c r="C92" s="8" t="str">
        <f>配置表!N91</f>
        <v>木</v>
      </c>
      <c r="D92" s="62" t="str">
        <f>配置表!O91</f>
        <v>夏　特別展</v>
      </c>
      <c r="E92" s="63" t="str">
        <f>配置表!P91</f>
        <v>テーマ展</v>
      </c>
      <c r="F92" s="44" t="str">
        <f>配置表!Q91</f>
        <v>○</v>
      </c>
      <c r="G92" s="45">
        <f>配置表!R91</f>
        <v>0</v>
      </c>
      <c r="H92" s="10" t="str">
        <f>配置表!S91</f>
        <v/>
      </c>
      <c r="I92" s="45">
        <f>配置表!T91</f>
        <v>0</v>
      </c>
      <c r="J92" s="10" t="str">
        <f>配置表!U91</f>
        <v>●</v>
      </c>
      <c r="K92" s="32">
        <f>配置表!V91</f>
        <v>0</v>
      </c>
      <c r="L92" s="33" t="str">
        <f>配置表!W91</f>
        <v>○</v>
      </c>
      <c r="M92" s="8">
        <f>配置表!X91</f>
        <v>0</v>
      </c>
      <c r="N92" s="33" t="str">
        <f>配置表!Y91</f>
        <v>○</v>
      </c>
      <c r="O92" s="8">
        <f>配置表!Z91</f>
        <v>5</v>
      </c>
      <c r="P92" s="33" t="str">
        <f>配置表!AA91</f>
        <v>○</v>
      </c>
      <c r="Q92" s="227">
        <f>配置表!AB91</f>
        <v>0.41666666666666669</v>
      </c>
      <c r="R92" s="227">
        <f>配置表!AC91</f>
        <v>0.70833333333333337</v>
      </c>
      <c r="S92" s="238" t="str">
        <f>配置表!AD91</f>
        <v/>
      </c>
      <c r="T92" s="63"/>
      <c r="U92" s="178" t="s">
        <v>65</v>
      </c>
      <c r="V92" s="179"/>
      <c r="W92" s="179"/>
      <c r="X92" s="180"/>
      <c r="Y92" s="180"/>
      <c r="Z92" s="180"/>
      <c r="AA92" s="170"/>
      <c r="AB92" s="184"/>
      <c r="AC92" s="185">
        <f>ROUNDDOWN(AC91*1.1,0)</f>
        <v>0</v>
      </c>
    </row>
    <row r="93" spans="1:30">
      <c r="A93" s="28" t="str">
        <f>配置表!L92</f>
        <v/>
      </c>
      <c r="B93" s="9">
        <f>配置表!M92</f>
        <v>45828</v>
      </c>
      <c r="C93" s="8" t="str">
        <f>配置表!N92</f>
        <v>金</v>
      </c>
      <c r="D93" s="62" t="str">
        <f>配置表!O92</f>
        <v>夏　特別展</v>
      </c>
      <c r="E93" s="63" t="str">
        <f>配置表!P92</f>
        <v>テーマ展</v>
      </c>
      <c r="F93" s="44" t="str">
        <f>配置表!Q92</f>
        <v>○</v>
      </c>
      <c r="G93" s="45">
        <f>配置表!R92</f>
        <v>0</v>
      </c>
      <c r="H93" s="10" t="str">
        <f>配置表!S92</f>
        <v/>
      </c>
      <c r="I93" s="45">
        <f>配置表!T92</f>
        <v>0</v>
      </c>
      <c r="J93" s="10" t="str">
        <f>配置表!U92</f>
        <v>●</v>
      </c>
      <c r="K93" s="32">
        <f>配置表!V92</f>
        <v>0</v>
      </c>
      <c r="L93" s="33" t="str">
        <f>配置表!W92</f>
        <v>○</v>
      </c>
      <c r="M93" s="8">
        <f>配置表!X92</f>
        <v>0</v>
      </c>
      <c r="N93" s="33" t="str">
        <f>配置表!Y92</f>
        <v>○</v>
      </c>
      <c r="O93" s="8">
        <f>配置表!Z92</f>
        <v>5</v>
      </c>
      <c r="P93" s="33" t="str">
        <f>配置表!AA92</f>
        <v>○</v>
      </c>
      <c r="Q93" s="227">
        <f>配置表!AB92</f>
        <v>0.41666666666666669</v>
      </c>
      <c r="R93" s="227">
        <f>配置表!AC92</f>
        <v>0.70833333333333337</v>
      </c>
      <c r="S93" s="238" t="str">
        <f>配置表!AD92</f>
        <v/>
      </c>
      <c r="T93" s="63"/>
    </row>
    <row r="94" spans="1:30">
      <c r="A94" s="28" t="str">
        <f>配置表!L93</f>
        <v/>
      </c>
      <c r="B94" s="9">
        <f>配置表!M93</f>
        <v>45829</v>
      </c>
      <c r="C94" s="8" t="str">
        <f>配置表!N93</f>
        <v>土</v>
      </c>
      <c r="D94" s="62" t="str">
        <f>配置表!O93</f>
        <v>夏　特別展</v>
      </c>
      <c r="E94" s="63" t="str">
        <f>配置表!P93</f>
        <v>テーマ展</v>
      </c>
      <c r="F94" s="44" t="str">
        <f>配置表!Q93</f>
        <v>○</v>
      </c>
      <c r="G94" s="45">
        <f>配置表!R93</f>
        <v>0</v>
      </c>
      <c r="H94" s="10" t="str">
        <f>配置表!S93</f>
        <v>○</v>
      </c>
      <c r="I94" s="45">
        <f>配置表!T93</f>
        <v>0</v>
      </c>
      <c r="J94" s="10" t="str">
        <f>配置表!U93</f>
        <v>●</v>
      </c>
      <c r="K94" s="32">
        <f>配置表!V93</f>
        <v>0</v>
      </c>
      <c r="L94" s="33" t="str">
        <f>配置表!W93</f>
        <v>◎</v>
      </c>
      <c r="M94" s="8">
        <f>配置表!X93</f>
        <v>0</v>
      </c>
      <c r="N94" s="33" t="str">
        <f>配置表!Y93</f>
        <v>○</v>
      </c>
      <c r="O94" s="8">
        <f>配置表!Z93</f>
        <v>5</v>
      </c>
      <c r="P94" s="33" t="str">
        <f>配置表!AA93</f>
        <v>○</v>
      </c>
      <c r="Q94" s="227">
        <f>配置表!AB93</f>
        <v>0.41666666666666669</v>
      </c>
      <c r="R94" s="227">
        <f>配置表!AC93</f>
        <v>0.70833333333333337</v>
      </c>
      <c r="S94" s="238" t="str">
        <f>配置表!AD93</f>
        <v/>
      </c>
      <c r="T94" s="63"/>
    </row>
    <row r="95" spans="1:30">
      <c r="A95" s="28" t="str">
        <f>配置表!L94</f>
        <v/>
      </c>
      <c r="B95" s="9">
        <f>配置表!M94</f>
        <v>45830</v>
      </c>
      <c r="C95" s="8" t="str">
        <f>配置表!N94</f>
        <v>日</v>
      </c>
      <c r="D95" s="62" t="str">
        <f>配置表!O94</f>
        <v>夏　特別展</v>
      </c>
      <c r="E95" s="63" t="str">
        <f>配置表!P94</f>
        <v>テーマ展</v>
      </c>
      <c r="F95" s="44" t="str">
        <f>配置表!Q94</f>
        <v>○</v>
      </c>
      <c r="G95" s="45">
        <f>配置表!R94</f>
        <v>0</v>
      </c>
      <c r="H95" s="10" t="str">
        <f>配置表!S94</f>
        <v>○</v>
      </c>
      <c r="I95" s="45">
        <f>配置表!T94</f>
        <v>0</v>
      </c>
      <c r="J95" s="10" t="str">
        <f>配置表!U94</f>
        <v>●</v>
      </c>
      <c r="K95" s="32">
        <f>配置表!V94</f>
        <v>0</v>
      </c>
      <c r="L95" s="33" t="str">
        <f>配置表!W94</f>
        <v>◎</v>
      </c>
      <c r="M95" s="8">
        <f>配置表!X94</f>
        <v>0</v>
      </c>
      <c r="N95" s="33" t="str">
        <f>配置表!Y94</f>
        <v>○</v>
      </c>
      <c r="O95" s="8">
        <f>配置表!Z94</f>
        <v>5</v>
      </c>
      <c r="P95" s="33" t="str">
        <f>配置表!AA94</f>
        <v>○</v>
      </c>
      <c r="Q95" s="227">
        <f>配置表!AB94</f>
        <v>0.41666666666666669</v>
      </c>
      <c r="R95" s="227">
        <f>配置表!AC94</f>
        <v>0.70833333333333337</v>
      </c>
      <c r="S95" s="238" t="str">
        <f>配置表!AD94</f>
        <v/>
      </c>
      <c r="T95" s="63"/>
    </row>
    <row r="96" spans="1:30">
      <c r="A96" s="28" t="str">
        <f>配置表!L95</f>
        <v>閉</v>
      </c>
      <c r="B96" s="9">
        <f>配置表!M95</f>
        <v>45831</v>
      </c>
      <c r="C96" s="8" t="str">
        <f>配置表!N95</f>
        <v>月</v>
      </c>
      <c r="D96" s="62" t="str">
        <f>配置表!O95</f>
        <v>夏　特別展</v>
      </c>
      <c r="E96" s="63" t="str">
        <f>配置表!P95</f>
        <v>テーマ展</v>
      </c>
      <c r="F96" s="44" t="str">
        <f>配置表!Q95</f>
        <v>休</v>
      </c>
      <c r="G96" s="8">
        <f>配置表!R95</f>
        <v>0</v>
      </c>
      <c r="H96" s="10" t="str">
        <f>配置表!S95</f>
        <v>休</v>
      </c>
      <c r="I96" s="32">
        <f>配置表!T95</f>
        <v>0</v>
      </c>
      <c r="J96" s="33" t="str">
        <f>配置表!U95</f>
        <v>休</v>
      </c>
      <c r="K96" s="8">
        <f>配置表!V95</f>
        <v>0</v>
      </c>
      <c r="L96" s="33" t="str">
        <f>配置表!W95</f>
        <v>休</v>
      </c>
      <c r="M96" s="8">
        <f>配置表!X95</f>
        <v>0</v>
      </c>
      <c r="N96" s="33" t="str">
        <f>配置表!Y95</f>
        <v>休</v>
      </c>
      <c r="O96" s="8" t="str">
        <f>配置表!Z95</f>
        <v/>
      </c>
      <c r="P96" s="33" t="str">
        <f>配置表!AA95</f>
        <v>休</v>
      </c>
      <c r="Q96" s="227" t="str">
        <f>配置表!AB95</f>
        <v/>
      </c>
      <c r="R96" s="227" t="str">
        <f>配置表!AC95</f>
        <v/>
      </c>
      <c r="S96" s="238" t="str">
        <f>配置表!AD95</f>
        <v/>
      </c>
      <c r="T96" s="63"/>
    </row>
    <row r="97" spans="1:29">
      <c r="A97" s="28" t="str">
        <f>配置表!L96</f>
        <v/>
      </c>
      <c r="B97" s="9">
        <f>配置表!M96</f>
        <v>45832</v>
      </c>
      <c r="C97" s="8" t="str">
        <f>配置表!N96</f>
        <v>火</v>
      </c>
      <c r="D97" s="62" t="str">
        <f>配置表!O96</f>
        <v>夏　特別展</v>
      </c>
      <c r="E97" s="63" t="str">
        <f>配置表!P96</f>
        <v>テーマ展</v>
      </c>
      <c r="F97" s="44" t="str">
        <f>配置表!Q96</f>
        <v>○</v>
      </c>
      <c r="G97" s="45">
        <f>配置表!R96</f>
        <v>0</v>
      </c>
      <c r="H97" s="10" t="str">
        <f>配置表!S96</f>
        <v/>
      </c>
      <c r="I97" s="45">
        <f>配置表!T96</f>
        <v>0</v>
      </c>
      <c r="J97" s="10" t="str">
        <f>配置表!U96</f>
        <v>●</v>
      </c>
      <c r="K97" s="32">
        <f>配置表!V96</f>
        <v>0</v>
      </c>
      <c r="L97" s="33" t="str">
        <f>配置表!W96</f>
        <v>○</v>
      </c>
      <c r="M97" s="8">
        <f>配置表!X96</f>
        <v>0</v>
      </c>
      <c r="N97" s="33" t="str">
        <f>配置表!Y96</f>
        <v>○</v>
      </c>
      <c r="O97" s="8">
        <f>配置表!Z96</f>
        <v>5</v>
      </c>
      <c r="P97" s="33" t="str">
        <f>配置表!AA96</f>
        <v>○</v>
      </c>
      <c r="Q97" s="227">
        <f>配置表!AB96</f>
        <v>0.41666666666666669</v>
      </c>
      <c r="R97" s="227">
        <f>配置表!AC96</f>
        <v>0.70833333333333337</v>
      </c>
      <c r="S97" s="238" t="str">
        <f>配置表!AD96</f>
        <v/>
      </c>
      <c r="T97" s="63"/>
      <c r="U97" s="317"/>
      <c r="V97" s="162"/>
      <c r="W97" s="162"/>
      <c r="X97" s="4"/>
      <c r="Y97" s="4"/>
      <c r="Z97" s="4"/>
      <c r="AA97" s="4"/>
      <c r="AB97" s="4"/>
      <c r="AC97" s="4"/>
    </row>
    <row r="98" spans="1:29">
      <c r="A98" s="28" t="str">
        <f>配置表!L97</f>
        <v/>
      </c>
      <c r="B98" s="9">
        <f>配置表!M97</f>
        <v>45833</v>
      </c>
      <c r="C98" s="8" t="str">
        <f>配置表!N97</f>
        <v>水</v>
      </c>
      <c r="D98" s="62" t="str">
        <f>配置表!O97</f>
        <v>夏　特別展</v>
      </c>
      <c r="E98" s="63" t="str">
        <f>配置表!P97</f>
        <v>テーマ展</v>
      </c>
      <c r="F98" s="44" t="str">
        <f>配置表!Q97</f>
        <v>○</v>
      </c>
      <c r="G98" s="45">
        <f>配置表!R97</f>
        <v>0</v>
      </c>
      <c r="H98" s="10" t="str">
        <f>配置表!S97</f>
        <v/>
      </c>
      <c r="I98" s="45">
        <f>配置表!T97</f>
        <v>0</v>
      </c>
      <c r="J98" s="10" t="str">
        <f>配置表!U97</f>
        <v>●</v>
      </c>
      <c r="K98" s="32">
        <f>配置表!V97</f>
        <v>0</v>
      </c>
      <c r="L98" s="33" t="str">
        <f>配置表!W97</f>
        <v>○</v>
      </c>
      <c r="M98" s="8">
        <f>配置表!X97</f>
        <v>0</v>
      </c>
      <c r="N98" s="33" t="str">
        <f>配置表!Y97</f>
        <v>○</v>
      </c>
      <c r="O98" s="8">
        <f>配置表!Z97</f>
        <v>5</v>
      </c>
      <c r="P98" s="33" t="str">
        <f>配置表!AA97</f>
        <v>○</v>
      </c>
      <c r="Q98" s="227">
        <f>配置表!AB97</f>
        <v>0.41666666666666669</v>
      </c>
      <c r="R98" s="227">
        <f>配置表!AC97</f>
        <v>0.70833333333333337</v>
      </c>
      <c r="S98" s="238" t="str">
        <f>配置表!AD97</f>
        <v/>
      </c>
      <c r="T98" s="63"/>
      <c r="U98" s="4"/>
      <c r="V98" s="162"/>
      <c r="W98" s="162"/>
      <c r="X98" s="4"/>
      <c r="Y98" s="4"/>
      <c r="Z98" s="4"/>
      <c r="AA98" s="4"/>
      <c r="AB98" s="4"/>
      <c r="AC98" s="4"/>
    </row>
    <row r="99" spans="1:29" ht="13.5">
      <c r="A99" s="28" t="str">
        <f>配置表!L98</f>
        <v/>
      </c>
      <c r="B99" s="9">
        <f>配置表!M98</f>
        <v>45834</v>
      </c>
      <c r="C99" s="8" t="str">
        <f>配置表!N98</f>
        <v>木</v>
      </c>
      <c r="D99" s="62" t="str">
        <f>配置表!O98</f>
        <v>夏　特別展</v>
      </c>
      <c r="E99" s="63" t="str">
        <f>配置表!P98</f>
        <v>テーマ展</v>
      </c>
      <c r="F99" s="44" t="str">
        <f>配置表!Q98</f>
        <v>○</v>
      </c>
      <c r="G99" s="45">
        <f>配置表!R98</f>
        <v>0</v>
      </c>
      <c r="H99" s="10" t="str">
        <f>配置表!S98</f>
        <v/>
      </c>
      <c r="I99" s="45">
        <f>配置表!T98</f>
        <v>0</v>
      </c>
      <c r="J99" s="10" t="str">
        <f>配置表!U98</f>
        <v>●</v>
      </c>
      <c r="K99" s="32">
        <f>配置表!V98</f>
        <v>0</v>
      </c>
      <c r="L99" s="33" t="str">
        <f>配置表!W98</f>
        <v>○</v>
      </c>
      <c r="M99" s="8">
        <f>配置表!X98</f>
        <v>0</v>
      </c>
      <c r="N99" s="33" t="str">
        <f>配置表!Y98</f>
        <v>○</v>
      </c>
      <c r="O99" s="8">
        <f>配置表!Z98</f>
        <v>5</v>
      </c>
      <c r="P99" s="33" t="str">
        <f>配置表!AA98</f>
        <v>○</v>
      </c>
      <c r="Q99" s="227">
        <f>配置表!AB98</f>
        <v>0.41666666666666669</v>
      </c>
      <c r="R99" s="227">
        <f>配置表!AC98</f>
        <v>0.70833333333333337</v>
      </c>
      <c r="S99" s="238" t="str">
        <f>配置表!AD98</f>
        <v/>
      </c>
      <c r="T99" s="63"/>
      <c r="U99" s="318"/>
      <c r="V99" s="318"/>
      <c r="W99" s="318"/>
      <c r="X99" s="318"/>
      <c r="Y99" s="318"/>
      <c r="Z99" s="318"/>
      <c r="AA99" s="318"/>
      <c r="AB99" s="318"/>
      <c r="AC99" s="318"/>
    </row>
    <row r="100" spans="1:29" ht="13.5">
      <c r="A100" s="28" t="str">
        <f>配置表!L99</f>
        <v/>
      </c>
      <c r="B100" s="9">
        <f>配置表!M99</f>
        <v>45835</v>
      </c>
      <c r="C100" s="8" t="str">
        <f>配置表!N99</f>
        <v>金</v>
      </c>
      <c r="D100" s="62" t="str">
        <f>配置表!O99</f>
        <v>夏　特別展</v>
      </c>
      <c r="E100" s="63" t="str">
        <f>配置表!P99</f>
        <v>テーマ展</v>
      </c>
      <c r="F100" s="44" t="str">
        <f>配置表!Q99</f>
        <v>○</v>
      </c>
      <c r="G100" s="45">
        <f>配置表!R99</f>
        <v>0</v>
      </c>
      <c r="H100" s="10" t="str">
        <f>配置表!S99</f>
        <v/>
      </c>
      <c r="I100" s="45">
        <f>配置表!T99</f>
        <v>0</v>
      </c>
      <c r="J100" s="10" t="str">
        <f>配置表!U99</f>
        <v>●</v>
      </c>
      <c r="K100" s="32">
        <f>配置表!V99</f>
        <v>0</v>
      </c>
      <c r="L100" s="33" t="str">
        <f>配置表!W99</f>
        <v>○</v>
      </c>
      <c r="M100" s="8">
        <f>配置表!X99</f>
        <v>0</v>
      </c>
      <c r="N100" s="33" t="str">
        <f>配置表!Y99</f>
        <v>○</v>
      </c>
      <c r="O100" s="8">
        <f>配置表!Z99</f>
        <v>5</v>
      </c>
      <c r="P100" s="33" t="str">
        <f>配置表!AA99</f>
        <v>○</v>
      </c>
      <c r="Q100" s="227">
        <f>配置表!AB99</f>
        <v>0.41666666666666669</v>
      </c>
      <c r="R100" s="227">
        <f>配置表!AC99</f>
        <v>0.70833333333333337</v>
      </c>
      <c r="S100" s="238" t="str">
        <f>配置表!AD99</f>
        <v/>
      </c>
      <c r="T100" s="63"/>
      <c r="U100" s="39"/>
      <c r="V100" s="319"/>
      <c r="W100" s="319"/>
      <c r="X100" s="326"/>
      <c r="Y100" s="321"/>
      <c r="Z100" s="26"/>
      <c r="AA100" s="327"/>
      <c r="AB100" s="323"/>
      <c r="AC100" s="323"/>
    </row>
    <row r="101" spans="1:29" ht="13.5">
      <c r="A101" s="28" t="str">
        <f>配置表!L100</f>
        <v/>
      </c>
      <c r="B101" s="9">
        <f>配置表!M100</f>
        <v>45836</v>
      </c>
      <c r="C101" s="8" t="str">
        <f>配置表!N100</f>
        <v>土</v>
      </c>
      <c r="D101" s="62" t="str">
        <f>配置表!O100</f>
        <v>夏　特別展</v>
      </c>
      <c r="E101" s="63" t="str">
        <f>配置表!P100</f>
        <v>テーマ展</v>
      </c>
      <c r="F101" s="44" t="str">
        <f>配置表!Q100</f>
        <v>○</v>
      </c>
      <c r="G101" s="45">
        <f>配置表!R100</f>
        <v>0</v>
      </c>
      <c r="H101" s="10" t="str">
        <f>配置表!S100</f>
        <v>○</v>
      </c>
      <c r="I101" s="45">
        <f>配置表!T100</f>
        <v>0</v>
      </c>
      <c r="J101" s="10" t="str">
        <f>配置表!U100</f>
        <v>●</v>
      </c>
      <c r="K101" s="32">
        <f>配置表!V100</f>
        <v>0</v>
      </c>
      <c r="L101" s="33" t="str">
        <f>配置表!W100</f>
        <v>◎</v>
      </c>
      <c r="M101" s="8">
        <f>配置表!X100</f>
        <v>0</v>
      </c>
      <c r="N101" s="33" t="str">
        <f>配置表!Y100</f>
        <v>○</v>
      </c>
      <c r="O101" s="8">
        <f>配置表!Z100</f>
        <v>5</v>
      </c>
      <c r="P101" s="33" t="str">
        <f>配置表!AA100</f>
        <v>○</v>
      </c>
      <c r="Q101" s="227">
        <f>配置表!AB100</f>
        <v>0.41666666666666669</v>
      </c>
      <c r="R101" s="227">
        <f>配置表!AC100</f>
        <v>0.70833333333333337</v>
      </c>
      <c r="S101" s="238" t="str">
        <f>配置表!AD100</f>
        <v/>
      </c>
      <c r="T101" s="63"/>
      <c r="U101" s="39"/>
      <c r="V101" s="319"/>
      <c r="W101" s="319"/>
      <c r="X101" s="326"/>
      <c r="Y101" s="321"/>
      <c r="Z101" s="26"/>
      <c r="AA101" s="327"/>
      <c r="AB101" s="323"/>
      <c r="AC101" s="323"/>
    </row>
    <row r="102" spans="1:29" ht="13.5">
      <c r="A102" s="28" t="str">
        <f>配置表!L101</f>
        <v/>
      </c>
      <c r="B102" s="9">
        <f>配置表!M101</f>
        <v>45837</v>
      </c>
      <c r="C102" s="8" t="str">
        <f>配置表!N101</f>
        <v>日</v>
      </c>
      <c r="D102" s="62" t="str">
        <f>配置表!O101</f>
        <v>夏　特別展</v>
      </c>
      <c r="E102" s="63" t="str">
        <f>配置表!P101</f>
        <v>テーマ展</v>
      </c>
      <c r="F102" s="44" t="str">
        <f>配置表!Q101</f>
        <v>○</v>
      </c>
      <c r="G102" s="45">
        <f>配置表!R101</f>
        <v>0</v>
      </c>
      <c r="H102" s="10" t="str">
        <f>配置表!S101</f>
        <v>○</v>
      </c>
      <c r="I102" s="45">
        <f>配置表!T101</f>
        <v>0</v>
      </c>
      <c r="J102" s="10" t="str">
        <f>配置表!U101</f>
        <v>●</v>
      </c>
      <c r="K102" s="32">
        <f>配置表!V101</f>
        <v>0</v>
      </c>
      <c r="L102" s="33" t="str">
        <f>配置表!W101</f>
        <v>◎</v>
      </c>
      <c r="M102" s="8">
        <f>配置表!X101</f>
        <v>0</v>
      </c>
      <c r="N102" s="33" t="str">
        <f>配置表!Y101</f>
        <v>○</v>
      </c>
      <c r="O102" s="8">
        <f>配置表!Z101</f>
        <v>5</v>
      </c>
      <c r="P102" s="33" t="str">
        <f>配置表!AA101</f>
        <v>○</v>
      </c>
      <c r="Q102" s="227">
        <f>配置表!AB101</f>
        <v>0.41666666666666669</v>
      </c>
      <c r="R102" s="227">
        <f>配置表!AC101</f>
        <v>0.70833333333333337</v>
      </c>
      <c r="S102" s="238" t="str">
        <f>配置表!AD101</f>
        <v/>
      </c>
      <c r="T102" s="63"/>
      <c r="U102" s="39"/>
      <c r="V102" s="319"/>
      <c r="W102" s="319"/>
      <c r="X102" s="326"/>
      <c r="Y102" s="321"/>
      <c r="Z102" s="26"/>
      <c r="AA102" s="327"/>
      <c r="AB102" s="323"/>
      <c r="AC102" s="323"/>
    </row>
    <row r="103" spans="1:29" ht="13.5">
      <c r="A103" s="28" t="str">
        <f>配置表!L102</f>
        <v>閉</v>
      </c>
      <c r="B103" s="9">
        <f>配置表!M102</f>
        <v>45838</v>
      </c>
      <c r="C103" s="8" t="str">
        <f>配置表!N102</f>
        <v>月</v>
      </c>
      <c r="D103" s="62" t="str">
        <f>配置表!O102</f>
        <v>夏　特別展</v>
      </c>
      <c r="E103" s="63" t="str">
        <f>配置表!P102</f>
        <v>テーマ展</v>
      </c>
      <c r="F103" s="44" t="str">
        <f>配置表!Q102</f>
        <v>休</v>
      </c>
      <c r="G103" s="8">
        <f>配置表!R102</f>
        <v>0</v>
      </c>
      <c r="H103" s="10" t="str">
        <f>配置表!S102</f>
        <v>休</v>
      </c>
      <c r="I103" s="32">
        <f>配置表!T102</f>
        <v>0</v>
      </c>
      <c r="J103" s="33" t="str">
        <f>配置表!U102</f>
        <v>休</v>
      </c>
      <c r="K103" s="8">
        <f>配置表!V102</f>
        <v>0</v>
      </c>
      <c r="L103" s="33" t="str">
        <f>配置表!W102</f>
        <v>休</v>
      </c>
      <c r="M103" s="8">
        <f>配置表!X102</f>
        <v>0</v>
      </c>
      <c r="N103" s="33" t="str">
        <f>配置表!Y102</f>
        <v>休</v>
      </c>
      <c r="O103" s="8" t="str">
        <f>配置表!Z102</f>
        <v/>
      </c>
      <c r="P103" s="33" t="str">
        <f>配置表!AA102</f>
        <v>休</v>
      </c>
      <c r="Q103" s="227" t="str">
        <f>配置表!AB102</f>
        <v/>
      </c>
      <c r="R103" s="227" t="str">
        <f>配置表!AC102</f>
        <v/>
      </c>
      <c r="S103" s="238" t="str">
        <f>配置表!AD102</f>
        <v/>
      </c>
      <c r="T103" s="63"/>
      <c r="U103" s="328"/>
      <c r="V103" s="328"/>
      <c r="W103" s="328"/>
      <c r="X103" s="329"/>
      <c r="Y103" s="330"/>
      <c r="Z103" s="331"/>
      <c r="AA103" s="332"/>
      <c r="AB103" s="333"/>
      <c r="AC103" s="323"/>
    </row>
    <row r="104" spans="1:29" ht="14.25" thickBot="1">
      <c r="A104" s="28"/>
      <c r="B104" s="61"/>
      <c r="C104" s="27"/>
      <c r="D104" s="64"/>
      <c r="E104" s="65"/>
      <c r="F104" s="40" t="s">
        <v>2</v>
      </c>
      <c r="G104" s="41"/>
      <c r="H104" s="22"/>
      <c r="I104" s="41"/>
      <c r="J104" s="22"/>
      <c r="K104" s="23"/>
      <c r="L104" s="34"/>
      <c r="M104" s="27"/>
      <c r="N104" s="34"/>
      <c r="O104" s="27"/>
      <c r="P104" s="34" t="s">
        <v>2</v>
      </c>
      <c r="Q104" s="239" t="str">
        <f>IF(ISERROR(VLOOKUP(B104,データ!$A$3:$C$19,2,FALSE)),"",VLOOKUP(B104,データ!$A$3:$C$19,2,FALSE))</f>
        <v/>
      </c>
      <c r="R104" s="239"/>
      <c r="S104" s="239"/>
      <c r="T104" s="63"/>
      <c r="U104" s="4"/>
      <c r="V104" s="162"/>
      <c r="W104" s="162"/>
      <c r="X104" s="4"/>
      <c r="Y104" s="4"/>
      <c r="Z104" s="4"/>
      <c r="AA104" s="4"/>
      <c r="AB104" s="324"/>
      <c r="AC104" s="325"/>
    </row>
    <row r="105" spans="1:29" ht="14.25" thickBot="1">
      <c r="A105" s="28"/>
      <c r="B105" s="57"/>
      <c r="C105" s="50"/>
      <c r="D105" s="50"/>
      <c r="E105" s="50"/>
      <c r="F105" s="24">
        <f>COUNTIF(F74:F104,"○")</f>
        <v>25</v>
      </c>
      <c r="G105" s="50"/>
      <c r="H105" s="50"/>
      <c r="I105" s="37"/>
      <c r="J105" s="37"/>
      <c r="K105" s="50"/>
      <c r="L105" s="50"/>
      <c r="M105" s="50"/>
      <c r="N105" s="50"/>
      <c r="O105" s="50"/>
      <c r="P105" s="50"/>
      <c r="Q105" s="110" t="str">
        <f>IF(ISERROR(VLOOKUP(B105,データ!$A$3:$C$19,2,FALSE)),"",VLOOKUP(B105,データ!$A$3:$C$19,2,FALSE))</f>
        <v/>
      </c>
      <c r="R105" s="110"/>
      <c r="S105" s="110"/>
      <c r="T105" s="110"/>
    </row>
    <row r="106" spans="1:29" customFormat="1" ht="27.75" customHeight="1" thickBot="1">
      <c r="A106" s="28"/>
      <c r="B106" s="58"/>
      <c r="C106" s="59"/>
      <c r="D106" s="42" t="s">
        <v>5</v>
      </c>
      <c r="E106" s="60" t="s">
        <v>6</v>
      </c>
      <c r="F106" s="49" t="s">
        <v>8</v>
      </c>
      <c r="G106" s="354" t="s">
        <v>13</v>
      </c>
      <c r="H106" s="355"/>
      <c r="I106" s="354" t="s">
        <v>14</v>
      </c>
      <c r="J106" s="355"/>
      <c r="K106" s="354" t="s">
        <v>9</v>
      </c>
      <c r="L106" s="355"/>
      <c r="M106" s="354" t="s">
        <v>10</v>
      </c>
      <c r="N106" s="355"/>
      <c r="O106" s="354" t="s">
        <v>1</v>
      </c>
      <c r="P106" s="355"/>
      <c r="Q106" s="38" t="s">
        <v>114</v>
      </c>
      <c r="R106" s="38" t="s">
        <v>35</v>
      </c>
      <c r="S106" s="38" t="s">
        <v>116</v>
      </c>
      <c r="T106" s="63"/>
      <c r="U106" s="149" t="s">
        <v>77</v>
      </c>
      <c r="V106" s="156"/>
      <c r="W106" s="156" t="s">
        <v>74</v>
      </c>
      <c r="X106" s="175" t="s">
        <v>60</v>
      </c>
      <c r="Y106" s="175" t="s">
        <v>70</v>
      </c>
      <c r="Z106" s="150" t="s">
        <v>71</v>
      </c>
      <c r="AA106" s="150" t="s">
        <v>61</v>
      </c>
      <c r="AB106" s="150" t="s">
        <v>62</v>
      </c>
      <c r="AC106" s="151" t="s">
        <v>63</v>
      </c>
    </row>
    <row r="107" spans="1:29" ht="13.5">
      <c r="A107" s="28" t="str">
        <f>配置表!L106</f>
        <v/>
      </c>
      <c r="B107" s="25">
        <f>配置表!M106</f>
        <v>45839</v>
      </c>
      <c r="C107" s="30" t="str">
        <f>配置表!N106</f>
        <v>火</v>
      </c>
      <c r="D107" s="69" t="str">
        <f>配置表!O106</f>
        <v>夏　特別展</v>
      </c>
      <c r="E107" s="66" t="str">
        <f>配置表!P106</f>
        <v>テーマ展</v>
      </c>
      <c r="F107" s="44" t="str">
        <f>配置表!Q106</f>
        <v>○</v>
      </c>
      <c r="G107" s="46">
        <f>配置表!R106</f>
        <v>0</v>
      </c>
      <c r="H107" s="10" t="str">
        <f>配置表!S106</f>
        <v/>
      </c>
      <c r="I107" s="46">
        <f>配置表!T106</f>
        <v>0</v>
      </c>
      <c r="J107" s="24" t="str">
        <f>配置表!U106</f>
        <v>●</v>
      </c>
      <c r="K107" s="35">
        <f>配置表!V106</f>
        <v>0</v>
      </c>
      <c r="L107" s="33" t="str">
        <f>配置表!W106</f>
        <v>○</v>
      </c>
      <c r="M107" s="30">
        <f>配置表!X106</f>
        <v>0</v>
      </c>
      <c r="N107" s="33" t="str">
        <f>配置表!Y106</f>
        <v>○</v>
      </c>
      <c r="O107" s="30">
        <f>配置表!Z106</f>
        <v>5</v>
      </c>
      <c r="P107" s="33" t="str">
        <f>配置表!AA106</f>
        <v>○</v>
      </c>
      <c r="Q107" s="232">
        <f>配置表!AB106</f>
        <v>0.41666666666666669</v>
      </c>
      <c r="R107" s="232">
        <f>配置表!AC106</f>
        <v>0.70833333333333337</v>
      </c>
      <c r="S107" s="237" t="str">
        <f>配置表!AD106</f>
        <v/>
      </c>
      <c r="T107" s="63"/>
      <c r="U107" s="173" t="s">
        <v>88</v>
      </c>
      <c r="V107" s="156"/>
      <c r="W107" s="156"/>
      <c r="X107" s="176"/>
      <c r="Y107" s="177"/>
      <c r="Z107" s="181">
        <f>COUNTIF(F107:F137,V107)</f>
        <v>0</v>
      </c>
      <c r="AA107" s="174">
        <f>X107*Y107*Z107</f>
        <v>0</v>
      </c>
      <c r="AB107" s="181"/>
      <c r="AC107" s="315">
        <f>SUM(AA107*AB107)</f>
        <v>0</v>
      </c>
    </row>
    <row r="108" spans="1:29" ht="13.5">
      <c r="A108" s="28" t="str">
        <f>配置表!L107</f>
        <v/>
      </c>
      <c r="B108" s="9">
        <f>配置表!M107</f>
        <v>45840</v>
      </c>
      <c r="C108" s="8" t="str">
        <f>配置表!N107</f>
        <v>水</v>
      </c>
      <c r="D108" s="62" t="str">
        <f>配置表!O107</f>
        <v>夏　特別展</v>
      </c>
      <c r="E108" s="67" t="str">
        <f>配置表!P107</f>
        <v>テーマ展</v>
      </c>
      <c r="F108" s="44" t="str">
        <f>配置表!Q107</f>
        <v>○</v>
      </c>
      <c r="G108" s="45">
        <f>配置表!R107</f>
        <v>0</v>
      </c>
      <c r="H108" s="10" t="str">
        <f>配置表!S107</f>
        <v/>
      </c>
      <c r="I108" s="45">
        <f>配置表!T107</f>
        <v>0</v>
      </c>
      <c r="J108" s="10" t="str">
        <f>配置表!U107</f>
        <v>●</v>
      </c>
      <c r="K108" s="32">
        <f>配置表!V107</f>
        <v>0</v>
      </c>
      <c r="L108" s="33" t="str">
        <f>配置表!W107</f>
        <v>○</v>
      </c>
      <c r="M108" s="8">
        <f>配置表!X107</f>
        <v>0</v>
      </c>
      <c r="N108" s="33" t="str">
        <f>配置表!Y107</f>
        <v>○</v>
      </c>
      <c r="O108" s="8">
        <f>配置表!Z107</f>
        <v>5</v>
      </c>
      <c r="P108" s="33" t="str">
        <f>配置表!AA107</f>
        <v>○</v>
      </c>
      <c r="Q108" s="227">
        <f>配置表!AB107</f>
        <v>0.41666666666666669</v>
      </c>
      <c r="R108" s="227">
        <f>配置表!AC107</f>
        <v>0.70833333333333337</v>
      </c>
      <c r="S108" s="238" t="str">
        <f>配置表!AD107</f>
        <v/>
      </c>
      <c r="T108" s="63"/>
      <c r="U108" s="152" t="s">
        <v>88</v>
      </c>
      <c r="V108" s="155" t="s">
        <v>66</v>
      </c>
      <c r="W108" s="274" t="s">
        <v>126</v>
      </c>
      <c r="X108" s="275">
        <v>8.5</v>
      </c>
      <c r="Y108" s="158">
        <v>1</v>
      </c>
      <c r="Z108" s="182">
        <f>COUNTIF(F107:F137,V108)</f>
        <v>27</v>
      </c>
      <c r="AA108" s="154">
        <f t="shared" ref="AA108:AA123" si="6">X108*Y108*Z108</f>
        <v>229.5</v>
      </c>
      <c r="AB108" s="182">
        <f>AB$9</f>
        <v>0</v>
      </c>
      <c r="AC108" s="183">
        <f t="shared" ref="AC108:AC123" si="7">SUM(AA108*AB108)</f>
        <v>0</v>
      </c>
    </row>
    <row r="109" spans="1:29" ht="13.5">
      <c r="A109" s="28" t="str">
        <f>配置表!L108</f>
        <v/>
      </c>
      <c r="B109" s="9">
        <f>配置表!M108</f>
        <v>45841</v>
      </c>
      <c r="C109" s="8" t="str">
        <f>配置表!N108</f>
        <v>木</v>
      </c>
      <c r="D109" s="62" t="str">
        <f>配置表!O108</f>
        <v>夏　特別展</v>
      </c>
      <c r="E109" s="67" t="str">
        <f>配置表!P108</f>
        <v>テーマ展</v>
      </c>
      <c r="F109" s="44" t="str">
        <f>配置表!Q108</f>
        <v>○</v>
      </c>
      <c r="G109" s="45">
        <f>配置表!R108</f>
        <v>0</v>
      </c>
      <c r="H109" s="10" t="str">
        <f>配置表!S108</f>
        <v/>
      </c>
      <c r="I109" s="45">
        <f>配置表!T108</f>
        <v>0</v>
      </c>
      <c r="J109" s="10" t="str">
        <f>配置表!U108</f>
        <v>●</v>
      </c>
      <c r="K109" s="32">
        <f>配置表!V108</f>
        <v>0</v>
      </c>
      <c r="L109" s="33" t="str">
        <f>配置表!W108</f>
        <v>○</v>
      </c>
      <c r="M109" s="8">
        <f>配置表!X108</f>
        <v>0</v>
      </c>
      <c r="N109" s="33" t="str">
        <f>配置表!Y108</f>
        <v>○</v>
      </c>
      <c r="O109" s="8">
        <f>配置表!Z108</f>
        <v>5</v>
      </c>
      <c r="P109" s="33" t="str">
        <f>配置表!AA108</f>
        <v>○</v>
      </c>
      <c r="Q109" s="227">
        <f>配置表!AB108</f>
        <v>0.41666666666666669</v>
      </c>
      <c r="R109" s="227">
        <f>配置表!AC108</f>
        <v>0.70833333333333337</v>
      </c>
      <c r="S109" s="238" t="str">
        <f>配置表!AD108</f>
        <v/>
      </c>
      <c r="T109" s="63"/>
      <c r="U109" s="152" t="s">
        <v>89</v>
      </c>
      <c r="V109" s="155" t="s">
        <v>66</v>
      </c>
      <c r="W109" s="155" t="s">
        <v>141</v>
      </c>
      <c r="X109" s="191">
        <v>5.25</v>
      </c>
      <c r="Y109" s="158">
        <v>1</v>
      </c>
      <c r="Z109" s="182">
        <f>COUNTIF(H107:H137,V109)</f>
        <v>9</v>
      </c>
      <c r="AA109" s="154">
        <f t="shared" si="6"/>
        <v>47.25</v>
      </c>
      <c r="AB109" s="182">
        <f>AB$10</f>
        <v>0</v>
      </c>
      <c r="AC109" s="183">
        <f t="shared" si="7"/>
        <v>0</v>
      </c>
    </row>
    <row r="110" spans="1:29" ht="13.5">
      <c r="A110" s="28" t="str">
        <f>配置表!L109</f>
        <v/>
      </c>
      <c r="B110" s="9">
        <f>配置表!M109</f>
        <v>45842</v>
      </c>
      <c r="C110" s="8" t="str">
        <f>配置表!N109</f>
        <v>金</v>
      </c>
      <c r="D110" s="62" t="str">
        <f>配置表!O109</f>
        <v>夏　特別展</v>
      </c>
      <c r="E110" s="67" t="str">
        <f>配置表!P109</f>
        <v>テーマ展</v>
      </c>
      <c r="F110" s="44" t="str">
        <f>配置表!Q109</f>
        <v>○</v>
      </c>
      <c r="G110" s="45">
        <f>配置表!R109</f>
        <v>0</v>
      </c>
      <c r="H110" s="10" t="str">
        <f>配置表!S109</f>
        <v/>
      </c>
      <c r="I110" s="45">
        <f>配置表!T109</f>
        <v>0</v>
      </c>
      <c r="J110" s="10" t="str">
        <f>配置表!U109</f>
        <v>●</v>
      </c>
      <c r="K110" s="32">
        <f>配置表!V109</f>
        <v>0</v>
      </c>
      <c r="L110" s="33" t="str">
        <f>配置表!W109</f>
        <v>○</v>
      </c>
      <c r="M110" s="8">
        <f>配置表!X109</f>
        <v>0</v>
      </c>
      <c r="N110" s="33" t="str">
        <f>配置表!Y109</f>
        <v>○</v>
      </c>
      <c r="O110" s="8">
        <f>配置表!Z109</f>
        <v>5</v>
      </c>
      <c r="P110" s="33" t="str">
        <f>配置表!AA109</f>
        <v>○</v>
      </c>
      <c r="Q110" s="227">
        <f>配置表!AB109</f>
        <v>0.41666666666666669</v>
      </c>
      <c r="R110" s="227">
        <f>配置表!AC109</f>
        <v>0.70833333333333337</v>
      </c>
      <c r="S110" s="238" t="str">
        <f>配置表!AD109</f>
        <v/>
      </c>
      <c r="T110" s="63"/>
      <c r="U110" s="152"/>
      <c r="V110" s="155"/>
      <c r="W110" s="155"/>
      <c r="X110" s="153"/>
      <c r="Y110" s="158"/>
      <c r="Z110" s="182">
        <f>COUNTIF(H107:H137,V110)</f>
        <v>0</v>
      </c>
      <c r="AA110" s="154">
        <f t="shared" si="6"/>
        <v>0</v>
      </c>
      <c r="AB110" s="182"/>
      <c r="AC110" s="183">
        <f t="shared" si="7"/>
        <v>0</v>
      </c>
    </row>
    <row r="111" spans="1:29" ht="13.5">
      <c r="A111" s="28" t="str">
        <f>配置表!L110</f>
        <v/>
      </c>
      <c r="B111" s="9">
        <f>配置表!M110</f>
        <v>45843</v>
      </c>
      <c r="C111" s="8" t="str">
        <f>配置表!N110</f>
        <v>土</v>
      </c>
      <c r="D111" s="62" t="str">
        <f>配置表!O110</f>
        <v>夏　特別展</v>
      </c>
      <c r="E111" s="67" t="str">
        <f>配置表!P110</f>
        <v>テーマ展</v>
      </c>
      <c r="F111" s="44" t="str">
        <f>配置表!Q110</f>
        <v>○</v>
      </c>
      <c r="G111" s="45">
        <f>配置表!R110</f>
        <v>0</v>
      </c>
      <c r="H111" s="10" t="str">
        <f>配置表!S110</f>
        <v>○</v>
      </c>
      <c r="I111" s="45">
        <f>配置表!T110</f>
        <v>0</v>
      </c>
      <c r="J111" s="10" t="str">
        <f>配置表!U110</f>
        <v>●</v>
      </c>
      <c r="K111" s="32">
        <f>配置表!V110</f>
        <v>0</v>
      </c>
      <c r="L111" s="33" t="str">
        <f>配置表!W110</f>
        <v>◎</v>
      </c>
      <c r="M111" s="8">
        <f>配置表!X110</f>
        <v>0</v>
      </c>
      <c r="N111" s="33" t="str">
        <f>配置表!Y110</f>
        <v>○</v>
      </c>
      <c r="O111" s="8">
        <f>配置表!Z110</f>
        <v>5</v>
      </c>
      <c r="P111" s="33" t="str">
        <f>配置表!AA110</f>
        <v>○</v>
      </c>
      <c r="Q111" s="227">
        <f>配置表!AB110</f>
        <v>0.41666666666666669</v>
      </c>
      <c r="R111" s="227">
        <f>配置表!AC110</f>
        <v>0.70833333333333337</v>
      </c>
      <c r="S111" s="238" t="str">
        <f>配置表!AD110</f>
        <v/>
      </c>
      <c r="T111" s="63"/>
      <c r="U111" s="152"/>
      <c r="V111" s="155"/>
      <c r="W111" s="155"/>
      <c r="X111" s="153"/>
      <c r="Y111" s="158"/>
      <c r="Z111" s="182">
        <f>COUNTIF(H107:H137,V111)</f>
        <v>0</v>
      </c>
      <c r="AA111" s="154">
        <f t="shared" si="6"/>
        <v>0</v>
      </c>
      <c r="AB111" s="182"/>
      <c r="AC111" s="183">
        <f t="shared" si="7"/>
        <v>0</v>
      </c>
    </row>
    <row r="112" spans="1:29" ht="13.5">
      <c r="A112" s="28" t="str">
        <f>配置表!L111</f>
        <v/>
      </c>
      <c r="B112" s="9">
        <f>配置表!M111</f>
        <v>45844</v>
      </c>
      <c r="C112" s="8" t="str">
        <f>配置表!N111</f>
        <v>日</v>
      </c>
      <c r="D112" s="62" t="str">
        <f>配置表!O111</f>
        <v>夏　特別展</v>
      </c>
      <c r="E112" s="67" t="str">
        <f>配置表!P111</f>
        <v>テーマ展</v>
      </c>
      <c r="F112" s="44" t="str">
        <f>配置表!Q111</f>
        <v>○</v>
      </c>
      <c r="G112" s="45">
        <f>配置表!R111</f>
        <v>0</v>
      </c>
      <c r="H112" s="10" t="str">
        <f>配置表!S111</f>
        <v>○</v>
      </c>
      <c r="I112" s="45">
        <f>配置表!T111</f>
        <v>0</v>
      </c>
      <c r="J112" s="10" t="str">
        <f>配置表!U111</f>
        <v>●</v>
      </c>
      <c r="K112" s="32">
        <f>配置表!V111</f>
        <v>0</v>
      </c>
      <c r="L112" s="33" t="str">
        <f>配置表!W111</f>
        <v>◎</v>
      </c>
      <c r="M112" s="8">
        <f>配置表!X111</f>
        <v>0</v>
      </c>
      <c r="N112" s="10" t="str">
        <f>配置表!Y111</f>
        <v>○</v>
      </c>
      <c r="O112" s="32">
        <f>配置表!Z111</f>
        <v>5</v>
      </c>
      <c r="P112" s="33" t="str">
        <f>配置表!AA111</f>
        <v>○</v>
      </c>
      <c r="Q112" s="227">
        <f>配置表!AB111</f>
        <v>0.41666666666666669</v>
      </c>
      <c r="R112" s="227">
        <f>配置表!AC111</f>
        <v>0.70833333333333337</v>
      </c>
      <c r="S112" s="238" t="str">
        <f>配置表!AD111</f>
        <v/>
      </c>
      <c r="T112" s="63"/>
      <c r="U112" s="152" t="s">
        <v>90</v>
      </c>
      <c r="V112" s="155" t="s">
        <v>46</v>
      </c>
      <c r="W112" s="155" t="s">
        <v>142</v>
      </c>
      <c r="X112" s="191">
        <v>6.75</v>
      </c>
      <c r="Y112" s="158">
        <v>1</v>
      </c>
      <c r="Z112" s="182">
        <f>COUNTIF(J107:J137,V112)</f>
        <v>27</v>
      </c>
      <c r="AA112" s="154">
        <f t="shared" si="6"/>
        <v>182.25</v>
      </c>
      <c r="AB112" s="182">
        <f>AB$13</f>
        <v>0</v>
      </c>
      <c r="AC112" s="183">
        <f t="shared" si="7"/>
        <v>0</v>
      </c>
    </row>
    <row r="113" spans="1:30" ht="13.5">
      <c r="A113" s="28" t="str">
        <f>配置表!L112</f>
        <v>閉</v>
      </c>
      <c r="B113" s="9">
        <f>配置表!M112</f>
        <v>45845</v>
      </c>
      <c r="C113" s="8" t="str">
        <f>配置表!N112</f>
        <v>月</v>
      </c>
      <c r="D113" s="62" t="str">
        <f>配置表!O112</f>
        <v>夏　特別展</v>
      </c>
      <c r="E113" s="67" t="str">
        <f>配置表!P112</f>
        <v>テーマ展</v>
      </c>
      <c r="F113" s="44" t="str">
        <f>配置表!Q112</f>
        <v>休</v>
      </c>
      <c r="G113" s="8">
        <f>配置表!R112</f>
        <v>0</v>
      </c>
      <c r="H113" s="10" t="str">
        <f>配置表!S112</f>
        <v>休</v>
      </c>
      <c r="I113" s="32">
        <f>配置表!T112</f>
        <v>0</v>
      </c>
      <c r="J113" s="33" t="str">
        <f>配置表!U112</f>
        <v>休</v>
      </c>
      <c r="K113" s="8">
        <f>配置表!V112</f>
        <v>0</v>
      </c>
      <c r="L113" s="33" t="str">
        <f>配置表!W112</f>
        <v>休</v>
      </c>
      <c r="M113" s="8">
        <f>配置表!X112</f>
        <v>0</v>
      </c>
      <c r="N113" s="33" t="str">
        <f>配置表!Y112</f>
        <v>休</v>
      </c>
      <c r="O113" s="8" t="str">
        <f>配置表!Z112</f>
        <v/>
      </c>
      <c r="P113" s="33" t="str">
        <f>配置表!AA112</f>
        <v>休</v>
      </c>
      <c r="Q113" s="227" t="str">
        <f>配置表!AB112</f>
        <v/>
      </c>
      <c r="R113" s="227" t="str">
        <f>配置表!AC112</f>
        <v/>
      </c>
      <c r="S113" s="238" t="str">
        <f>配置表!AD112</f>
        <v/>
      </c>
      <c r="T113" s="63"/>
      <c r="U113" s="152"/>
      <c r="V113" s="155"/>
      <c r="W113" s="155"/>
      <c r="X113" s="153"/>
      <c r="Y113" s="158"/>
      <c r="Z113" s="182">
        <f>COUNTIF(J107:J137,V113)</f>
        <v>0</v>
      </c>
      <c r="AA113" s="154">
        <f t="shared" si="6"/>
        <v>0</v>
      </c>
      <c r="AB113" s="182"/>
      <c r="AC113" s="183">
        <f t="shared" si="7"/>
        <v>0</v>
      </c>
    </row>
    <row r="114" spans="1:30" ht="13.5">
      <c r="A114" s="28" t="str">
        <f>配置表!L113</f>
        <v/>
      </c>
      <c r="B114" s="9">
        <f>配置表!M113</f>
        <v>45846</v>
      </c>
      <c r="C114" s="8" t="str">
        <f>配置表!N113</f>
        <v>火</v>
      </c>
      <c r="D114" s="62" t="str">
        <f>配置表!O113</f>
        <v>夏　特別展</v>
      </c>
      <c r="E114" s="67" t="str">
        <f>配置表!P113</f>
        <v>テーマ展</v>
      </c>
      <c r="F114" s="44" t="str">
        <f>配置表!Q113</f>
        <v>○</v>
      </c>
      <c r="G114" s="45">
        <f>配置表!R113</f>
        <v>0</v>
      </c>
      <c r="H114" s="10" t="str">
        <f>配置表!S113</f>
        <v/>
      </c>
      <c r="I114" s="45">
        <f>配置表!T113</f>
        <v>0</v>
      </c>
      <c r="J114" s="10" t="str">
        <f>配置表!U113</f>
        <v>●</v>
      </c>
      <c r="K114" s="32">
        <f>配置表!V113</f>
        <v>0</v>
      </c>
      <c r="L114" s="33" t="str">
        <f>配置表!W113</f>
        <v>○</v>
      </c>
      <c r="M114" s="8">
        <f>配置表!X113</f>
        <v>0</v>
      </c>
      <c r="N114" s="33" t="str">
        <f>配置表!Y113</f>
        <v>○</v>
      </c>
      <c r="O114" s="8">
        <f>配置表!Z113</f>
        <v>5</v>
      </c>
      <c r="P114" s="33" t="str">
        <f>配置表!AA113</f>
        <v>○</v>
      </c>
      <c r="Q114" s="227">
        <f>配置表!AB113</f>
        <v>0.41666666666666669</v>
      </c>
      <c r="R114" s="227">
        <f>配置表!AC113</f>
        <v>0.70833333333333337</v>
      </c>
      <c r="S114" s="238" t="str">
        <f>配置表!AD113</f>
        <v/>
      </c>
      <c r="T114" s="63"/>
      <c r="U114" s="152" t="s">
        <v>91</v>
      </c>
      <c r="V114" s="155" t="s">
        <v>66</v>
      </c>
      <c r="W114" s="155" t="s">
        <v>141</v>
      </c>
      <c r="X114" s="191">
        <v>5.25</v>
      </c>
      <c r="Y114" s="158">
        <v>1</v>
      </c>
      <c r="Z114" s="186">
        <f>COUNTIF(L107:L137,V114)</f>
        <v>18</v>
      </c>
      <c r="AA114" s="154">
        <f t="shared" si="6"/>
        <v>94.5</v>
      </c>
      <c r="AB114" s="182">
        <f>AB$15</f>
        <v>0</v>
      </c>
      <c r="AC114" s="183">
        <f t="shared" si="7"/>
        <v>0</v>
      </c>
    </row>
    <row r="115" spans="1:30" ht="13.5">
      <c r="A115" s="28" t="str">
        <f>配置表!L114</f>
        <v/>
      </c>
      <c r="B115" s="9">
        <f>配置表!M114</f>
        <v>45847</v>
      </c>
      <c r="C115" s="8" t="str">
        <f>配置表!N114</f>
        <v>水</v>
      </c>
      <c r="D115" s="62" t="str">
        <f>配置表!O114</f>
        <v>夏　特別展</v>
      </c>
      <c r="E115" s="67" t="str">
        <f>配置表!P114</f>
        <v>テーマ展</v>
      </c>
      <c r="F115" s="44" t="str">
        <f>配置表!Q114</f>
        <v>○</v>
      </c>
      <c r="G115" s="45">
        <f>配置表!R114</f>
        <v>0</v>
      </c>
      <c r="H115" s="10" t="str">
        <f>配置表!S114</f>
        <v/>
      </c>
      <c r="I115" s="45">
        <f>配置表!T114</f>
        <v>0</v>
      </c>
      <c r="J115" s="10" t="str">
        <f>配置表!U114</f>
        <v>●</v>
      </c>
      <c r="K115" s="32">
        <f>配置表!V114</f>
        <v>0</v>
      </c>
      <c r="L115" s="33" t="str">
        <f>配置表!W114</f>
        <v>○</v>
      </c>
      <c r="M115" s="8">
        <f>配置表!X114</f>
        <v>0</v>
      </c>
      <c r="N115" s="33" t="str">
        <f>配置表!Y114</f>
        <v>○</v>
      </c>
      <c r="O115" s="8">
        <f>配置表!Z114</f>
        <v>5</v>
      </c>
      <c r="P115" s="33" t="str">
        <f>配置表!AA114</f>
        <v>○</v>
      </c>
      <c r="Q115" s="227">
        <f>配置表!AB114</f>
        <v>0.41666666666666669</v>
      </c>
      <c r="R115" s="227">
        <f>配置表!AC114</f>
        <v>0.70833333333333337</v>
      </c>
      <c r="S115" s="238" t="str">
        <f>配置表!AD114</f>
        <v/>
      </c>
      <c r="T115" s="63"/>
      <c r="U115" s="152" t="s">
        <v>18</v>
      </c>
      <c r="V115" s="155" t="s">
        <v>15</v>
      </c>
      <c r="W115" s="155" t="s">
        <v>153</v>
      </c>
      <c r="X115" s="153">
        <v>5</v>
      </c>
      <c r="Y115" s="158">
        <v>1</v>
      </c>
      <c r="Z115" s="186">
        <f>COUNTIF(L107:L137,V115)</f>
        <v>9</v>
      </c>
      <c r="AA115" s="154">
        <f t="shared" si="6"/>
        <v>45</v>
      </c>
      <c r="AB115" s="182">
        <f>AB$16</f>
        <v>0</v>
      </c>
      <c r="AC115" s="183">
        <f t="shared" si="7"/>
        <v>0</v>
      </c>
    </row>
    <row r="116" spans="1:30" ht="13.5">
      <c r="A116" s="28" t="str">
        <f>配置表!L115</f>
        <v/>
      </c>
      <c r="B116" s="9">
        <f>配置表!M115</f>
        <v>45848</v>
      </c>
      <c r="C116" s="8" t="str">
        <f>配置表!N115</f>
        <v>木</v>
      </c>
      <c r="D116" s="62" t="str">
        <f>配置表!O115</f>
        <v>夏　特別展</v>
      </c>
      <c r="E116" s="67" t="str">
        <f>配置表!P115</f>
        <v>テーマ展</v>
      </c>
      <c r="F116" s="44" t="str">
        <f>配置表!Q115</f>
        <v>○</v>
      </c>
      <c r="G116" s="45">
        <f>配置表!R115</f>
        <v>0</v>
      </c>
      <c r="H116" s="10" t="str">
        <f>配置表!S115</f>
        <v/>
      </c>
      <c r="I116" s="45">
        <f>配置表!T115</f>
        <v>0</v>
      </c>
      <c r="J116" s="10" t="str">
        <f>配置表!U115</f>
        <v>●</v>
      </c>
      <c r="K116" s="32">
        <f>配置表!V115</f>
        <v>0</v>
      </c>
      <c r="L116" s="33" t="str">
        <f>配置表!W115</f>
        <v>○</v>
      </c>
      <c r="M116" s="8">
        <f>配置表!X115</f>
        <v>0</v>
      </c>
      <c r="N116" s="33" t="str">
        <f>配置表!Y115</f>
        <v>○</v>
      </c>
      <c r="O116" s="8">
        <f>配置表!Z115</f>
        <v>5</v>
      </c>
      <c r="P116" s="33" t="str">
        <f>配置表!AA115</f>
        <v>○</v>
      </c>
      <c r="Q116" s="227">
        <f>配置表!AB115</f>
        <v>0.41666666666666669</v>
      </c>
      <c r="R116" s="227">
        <f>配置表!AC115</f>
        <v>0.70833333333333337</v>
      </c>
      <c r="S116" s="238" t="str">
        <f>配置表!AD115</f>
        <v/>
      </c>
      <c r="T116" s="63"/>
      <c r="U116" s="152"/>
      <c r="V116" s="155"/>
      <c r="W116" s="155"/>
      <c r="X116" s="153"/>
      <c r="Y116" s="158"/>
      <c r="Z116" s="186">
        <f>COUNTIF(N107:N137,V116)</f>
        <v>0</v>
      </c>
      <c r="AA116" s="154">
        <f t="shared" si="6"/>
        <v>0</v>
      </c>
      <c r="AB116" s="182"/>
      <c r="AC116" s="183">
        <f t="shared" si="7"/>
        <v>0</v>
      </c>
    </row>
    <row r="117" spans="1:30" ht="13.5">
      <c r="A117" s="28" t="str">
        <f>配置表!L116</f>
        <v/>
      </c>
      <c r="B117" s="9">
        <f>配置表!M116</f>
        <v>45849</v>
      </c>
      <c r="C117" s="8" t="str">
        <f>配置表!N116</f>
        <v>金</v>
      </c>
      <c r="D117" s="62" t="str">
        <f>配置表!O116</f>
        <v>夏　特別展</v>
      </c>
      <c r="E117" s="67" t="str">
        <f>配置表!P116</f>
        <v>テーマ展</v>
      </c>
      <c r="F117" s="44" t="str">
        <f>配置表!Q116</f>
        <v>○</v>
      </c>
      <c r="G117" s="45">
        <f>配置表!R116</f>
        <v>0</v>
      </c>
      <c r="H117" s="10" t="str">
        <f>配置表!S116</f>
        <v/>
      </c>
      <c r="I117" s="45">
        <f>配置表!T116</f>
        <v>0</v>
      </c>
      <c r="J117" s="10" t="str">
        <f>配置表!U116</f>
        <v>●</v>
      </c>
      <c r="K117" s="32">
        <f>配置表!V116</f>
        <v>0</v>
      </c>
      <c r="L117" s="33" t="str">
        <f>配置表!W116</f>
        <v>○</v>
      </c>
      <c r="M117" s="8">
        <f>配置表!X116</f>
        <v>0</v>
      </c>
      <c r="N117" s="33" t="str">
        <f>配置表!Y116</f>
        <v>○</v>
      </c>
      <c r="O117" s="8">
        <f>配置表!Z116</f>
        <v>5</v>
      </c>
      <c r="P117" s="33" t="str">
        <f>配置表!AA116</f>
        <v>○</v>
      </c>
      <c r="Q117" s="227">
        <f>配置表!AB116</f>
        <v>0.41666666666666669</v>
      </c>
      <c r="R117" s="227">
        <f>配置表!AC116</f>
        <v>0.70833333333333337</v>
      </c>
      <c r="S117" s="238" t="str">
        <f>配置表!AD116</f>
        <v/>
      </c>
      <c r="T117" s="63"/>
      <c r="U117" s="152"/>
      <c r="V117" s="155"/>
      <c r="W117" s="274"/>
      <c r="X117" s="275"/>
      <c r="Y117" s="158"/>
      <c r="Z117" s="186">
        <f>COUNTIF(N107:N137,V117)</f>
        <v>0</v>
      </c>
      <c r="AA117" s="154">
        <f t="shared" si="6"/>
        <v>0</v>
      </c>
      <c r="AB117" s="182"/>
      <c r="AC117" s="183">
        <f t="shared" si="7"/>
        <v>0</v>
      </c>
    </row>
    <row r="118" spans="1:30" ht="13.5">
      <c r="A118" s="28" t="str">
        <f>配置表!L117</f>
        <v/>
      </c>
      <c r="B118" s="9">
        <f>配置表!M117</f>
        <v>45850</v>
      </c>
      <c r="C118" s="8" t="str">
        <f>配置表!N117</f>
        <v>土</v>
      </c>
      <c r="D118" s="62" t="str">
        <f>配置表!O117</f>
        <v>夏　特別展</v>
      </c>
      <c r="E118" s="67" t="str">
        <f>配置表!P117</f>
        <v>テーマ展</v>
      </c>
      <c r="F118" s="44" t="str">
        <f>配置表!Q117</f>
        <v>○</v>
      </c>
      <c r="G118" s="45">
        <f>配置表!R117</f>
        <v>0</v>
      </c>
      <c r="H118" s="10" t="str">
        <f>配置表!S117</f>
        <v>○</v>
      </c>
      <c r="I118" s="45">
        <f>配置表!T117</f>
        <v>0</v>
      </c>
      <c r="J118" s="10" t="str">
        <f>配置表!U117</f>
        <v>●</v>
      </c>
      <c r="K118" s="32">
        <f>配置表!V117</f>
        <v>0</v>
      </c>
      <c r="L118" s="33" t="str">
        <f>配置表!W117</f>
        <v>◎</v>
      </c>
      <c r="M118" s="8">
        <f>配置表!X117</f>
        <v>0</v>
      </c>
      <c r="N118" s="33" t="str">
        <f>配置表!Y117</f>
        <v>○</v>
      </c>
      <c r="O118" s="8">
        <f>配置表!Z117</f>
        <v>5</v>
      </c>
      <c r="P118" s="33" t="str">
        <f>配置表!AA117</f>
        <v>○</v>
      </c>
      <c r="Q118" s="227">
        <f>配置表!AB117</f>
        <v>0.41666666666666669</v>
      </c>
      <c r="R118" s="227">
        <f>配置表!AC117</f>
        <v>0.70833333333333337</v>
      </c>
      <c r="S118" s="238" t="str">
        <f>配置表!AD117</f>
        <v/>
      </c>
      <c r="T118" s="63"/>
      <c r="U118" s="152" t="s">
        <v>19</v>
      </c>
      <c r="V118" s="155" t="s">
        <v>66</v>
      </c>
      <c r="W118" s="274" t="s">
        <v>127</v>
      </c>
      <c r="X118" s="275">
        <v>7.5</v>
      </c>
      <c r="Y118" s="158">
        <v>1</v>
      </c>
      <c r="Z118" s="186">
        <f>COUNTIF(N107:N137,V118)</f>
        <v>27</v>
      </c>
      <c r="AA118" s="154">
        <f t="shared" si="6"/>
        <v>202.5</v>
      </c>
      <c r="AB118" s="182">
        <f>AB$19</f>
        <v>0</v>
      </c>
      <c r="AC118" s="183">
        <f t="shared" si="7"/>
        <v>0</v>
      </c>
    </row>
    <row r="119" spans="1:30" ht="13.5">
      <c r="A119" s="28" t="str">
        <f>配置表!L118</f>
        <v/>
      </c>
      <c r="B119" s="9">
        <f>配置表!M118</f>
        <v>45851</v>
      </c>
      <c r="C119" s="8" t="str">
        <f>配置表!N118</f>
        <v>日</v>
      </c>
      <c r="D119" s="62" t="str">
        <f>配置表!O118</f>
        <v>夏　特別展</v>
      </c>
      <c r="E119" s="67" t="str">
        <f>配置表!P118</f>
        <v>テーマ展</v>
      </c>
      <c r="F119" s="44" t="str">
        <f>配置表!Q118</f>
        <v>○</v>
      </c>
      <c r="G119" s="45">
        <f>配置表!R118</f>
        <v>0</v>
      </c>
      <c r="H119" s="10" t="str">
        <f>配置表!S118</f>
        <v>○</v>
      </c>
      <c r="I119" s="45">
        <f>配置表!T118</f>
        <v>0</v>
      </c>
      <c r="J119" s="10" t="str">
        <f>配置表!U118</f>
        <v>●</v>
      </c>
      <c r="K119" s="32">
        <f>配置表!V118</f>
        <v>0</v>
      </c>
      <c r="L119" s="33" t="str">
        <f>配置表!W118</f>
        <v>◎</v>
      </c>
      <c r="M119" s="8">
        <f>配置表!X118</f>
        <v>0</v>
      </c>
      <c r="N119" s="10" t="str">
        <f>配置表!Y118</f>
        <v>○</v>
      </c>
      <c r="O119" s="32">
        <f>配置表!Z118</f>
        <v>5</v>
      </c>
      <c r="P119" s="33" t="str">
        <f>配置表!AA118</f>
        <v>○</v>
      </c>
      <c r="Q119" s="227">
        <f>配置表!AB118</f>
        <v>0.41666666666666669</v>
      </c>
      <c r="R119" s="227">
        <f>配置表!AC118</f>
        <v>0.70833333333333337</v>
      </c>
      <c r="S119" s="238" t="str">
        <f>配置表!AD118</f>
        <v/>
      </c>
      <c r="T119" s="63"/>
      <c r="U119" s="152" t="s">
        <v>69</v>
      </c>
      <c r="V119" s="155" t="s">
        <v>46</v>
      </c>
      <c r="W119" s="155" t="s">
        <v>68</v>
      </c>
      <c r="X119" s="153">
        <v>8.5</v>
      </c>
      <c r="Y119" s="158">
        <v>5</v>
      </c>
      <c r="Z119" s="186">
        <f>COUNTIF(P107:P137,V119)</f>
        <v>0</v>
      </c>
      <c r="AA119" s="154">
        <f t="shared" si="6"/>
        <v>0</v>
      </c>
      <c r="AB119" s="182"/>
      <c r="AC119" s="183">
        <f t="shared" si="7"/>
        <v>0</v>
      </c>
    </row>
    <row r="120" spans="1:30" ht="13.5">
      <c r="A120" s="28" t="str">
        <f>配置表!L119</f>
        <v>閉</v>
      </c>
      <c r="B120" s="9">
        <f>配置表!M119</f>
        <v>45852</v>
      </c>
      <c r="C120" s="8" t="str">
        <f>配置表!N119</f>
        <v>月</v>
      </c>
      <c r="D120" s="62" t="str">
        <f>配置表!O119</f>
        <v>夏　特別展</v>
      </c>
      <c r="E120" s="67" t="str">
        <f>配置表!P119</f>
        <v>テーマ展</v>
      </c>
      <c r="F120" s="44" t="str">
        <f>配置表!Q119</f>
        <v>休</v>
      </c>
      <c r="G120" s="8">
        <f>配置表!R119</f>
        <v>0</v>
      </c>
      <c r="H120" s="10" t="str">
        <f>配置表!S119</f>
        <v>休</v>
      </c>
      <c r="I120" s="32">
        <f>配置表!T119</f>
        <v>0</v>
      </c>
      <c r="J120" s="33" t="str">
        <f>配置表!U119</f>
        <v>休</v>
      </c>
      <c r="K120" s="8">
        <f>配置表!V119</f>
        <v>0</v>
      </c>
      <c r="L120" s="33" t="str">
        <f>配置表!W119</f>
        <v>休</v>
      </c>
      <c r="M120" s="8">
        <f>配置表!X119</f>
        <v>0</v>
      </c>
      <c r="N120" s="33" t="str">
        <f>配置表!Y119</f>
        <v>休</v>
      </c>
      <c r="O120" s="8" t="str">
        <f>配置表!Z119</f>
        <v/>
      </c>
      <c r="P120" s="33" t="str">
        <f>配置表!AA119</f>
        <v>休</v>
      </c>
      <c r="Q120" s="227" t="str">
        <f>配置表!AB119</f>
        <v/>
      </c>
      <c r="R120" s="227" t="str">
        <f>配置表!AC119</f>
        <v/>
      </c>
      <c r="S120" s="238" t="str">
        <f>配置表!AD119</f>
        <v/>
      </c>
      <c r="T120" s="63"/>
      <c r="U120" s="152"/>
      <c r="V120" s="155"/>
      <c r="W120" s="274"/>
      <c r="X120" s="275"/>
      <c r="Y120" s="158"/>
      <c r="Z120" s="182">
        <f>COUNTIF(P107:P137,V120)</f>
        <v>0</v>
      </c>
      <c r="AA120" s="154">
        <f t="shared" si="6"/>
        <v>0</v>
      </c>
      <c r="AB120" s="182"/>
      <c r="AC120" s="183">
        <f t="shared" si="7"/>
        <v>0</v>
      </c>
    </row>
    <row r="121" spans="1:30" ht="13.5">
      <c r="A121" s="28" t="str">
        <f>配置表!L120</f>
        <v/>
      </c>
      <c r="B121" s="9">
        <f>配置表!M120</f>
        <v>45853</v>
      </c>
      <c r="C121" s="8" t="str">
        <f>配置表!N120</f>
        <v>火</v>
      </c>
      <c r="D121" s="62" t="str">
        <f>配置表!O120</f>
        <v>夏　特別展</v>
      </c>
      <c r="E121" s="67" t="str">
        <f>配置表!P120</f>
        <v>テーマ展</v>
      </c>
      <c r="F121" s="44" t="str">
        <f>配置表!Q120</f>
        <v>○</v>
      </c>
      <c r="G121" s="45">
        <f>配置表!R120</f>
        <v>0</v>
      </c>
      <c r="H121" s="10" t="str">
        <f>配置表!S120</f>
        <v/>
      </c>
      <c r="I121" s="45">
        <f>配置表!T120</f>
        <v>0</v>
      </c>
      <c r="J121" s="10" t="str">
        <f>配置表!U120</f>
        <v>●</v>
      </c>
      <c r="K121" s="32">
        <f>配置表!V120</f>
        <v>0</v>
      </c>
      <c r="L121" s="33" t="str">
        <f>配置表!W120</f>
        <v>○</v>
      </c>
      <c r="M121" s="8">
        <f>配置表!X120</f>
        <v>0</v>
      </c>
      <c r="N121" s="33" t="str">
        <f>配置表!Y120</f>
        <v>○</v>
      </c>
      <c r="O121" s="8">
        <f>配置表!Z120</f>
        <v>5</v>
      </c>
      <c r="P121" s="33" t="str">
        <f>配置表!AA120</f>
        <v>○</v>
      </c>
      <c r="Q121" s="227">
        <f>配置表!AB120</f>
        <v>0.41666666666666669</v>
      </c>
      <c r="R121" s="227">
        <f>配置表!AC120</f>
        <v>0.70833333333333337</v>
      </c>
      <c r="S121" s="238" t="str">
        <f>配置表!AD120</f>
        <v/>
      </c>
      <c r="T121" s="63"/>
      <c r="U121" s="152" t="s">
        <v>69</v>
      </c>
      <c r="V121" s="155" t="s">
        <v>66</v>
      </c>
      <c r="W121" s="274" t="s">
        <v>127</v>
      </c>
      <c r="X121" s="275">
        <v>7.5</v>
      </c>
      <c r="Y121" s="158">
        <v>5</v>
      </c>
      <c r="Z121" s="182">
        <f>COUNTIF(P107:P137,V121)</f>
        <v>27</v>
      </c>
      <c r="AA121" s="154">
        <f t="shared" si="6"/>
        <v>1012.5</v>
      </c>
      <c r="AB121" s="182">
        <f>AB$22</f>
        <v>0</v>
      </c>
      <c r="AC121" s="183">
        <f t="shared" si="7"/>
        <v>0</v>
      </c>
    </row>
    <row r="122" spans="1:30" ht="13.5">
      <c r="A122" s="28" t="str">
        <f>配置表!L121</f>
        <v/>
      </c>
      <c r="B122" s="9">
        <f>配置表!M121</f>
        <v>45854</v>
      </c>
      <c r="C122" s="8" t="str">
        <f>配置表!N121</f>
        <v>水</v>
      </c>
      <c r="D122" s="62" t="str">
        <f>配置表!O121</f>
        <v>夏　特別展</v>
      </c>
      <c r="E122" s="67" t="str">
        <f>配置表!P121</f>
        <v>テーマ展</v>
      </c>
      <c r="F122" s="44" t="str">
        <f>配置表!Q121</f>
        <v>○</v>
      </c>
      <c r="G122" s="45">
        <f>配置表!R121</f>
        <v>0</v>
      </c>
      <c r="H122" s="10" t="str">
        <f>配置表!S121</f>
        <v/>
      </c>
      <c r="I122" s="45">
        <f>配置表!T121</f>
        <v>0</v>
      </c>
      <c r="J122" s="10" t="str">
        <f>配置表!U121</f>
        <v>●</v>
      </c>
      <c r="K122" s="32">
        <f>配置表!V121</f>
        <v>0</v>
      </c>
      <c r="L122" s="33" t="str">
        <f>配置表!W121</f>
        <v>○</v>
      </c>
      <c r="M122" s="8">
        <f>配置表!X121</f>
        <v>0</v>
      </c>
      <c r="N122" s="33" t="str">
        <f>配置表!Y121</f>
        <v>○</v>
      </c>
      <c r="O122" s="8">
        <f>配置表!Z121</f>
        <v>5</v>
      </c>
      <c r="P122" s="33" t="str">
        <f>配置表!AA121</f>
        <v>○</v>
      </c>
      <c r="Q122" s="227">
        <f>配置表!AB121</f>
        <v>0.41666666666666669</v>
      </c>
      <c r="R122" s="227">
        <f>配置表!AC121</f>
        <v>0.70833333333333337</v>
      </c>
      <c r="S122" s="238" t="str">
        <f>配置表!AD121</f>
        <v/>
      </c>
      <c r="T122" s="63"/>
      <c r="U122" s="187" t="s">
        <v>69</v>
      </c>
      <c r="V122" s="155" t="s">
        <v>75</v>
      </c>
      <c r="W122" s="274" t="s">
        <v>127</v>
      </c>
      <c r="X122" s="275">
        <v>7.5</v>
      </c>
      <c r="Y122" s="158">
        <v>1</v>
      </c>
      <c r="Z122" s="186">
        <f>COUNTIF(P107:P137,V122)+Z123</f>
        <v>0</v>
      </c>
      <c r="AA122" s="154">
        <f t="shared" si="6"/>
        <v>0</v>
      </c>
      <c r="AB122" s="182">
        <f>AB$56</f>
        <v>0</v>
      </c>
      <c r="AC122" s="183">
        <f t="shared" si="7"/>
        <v>0</v>
      </c>
      <c r="AD122" s="1" t="s">
        <v>95</v>
      </c>
    </row>
    <row r="123" spans="1:30" ht="13.5">
      <c r="A123" s="28" t="str">
        <f>配置表!L122</f>
        <v/>
      </c>
      <c r="B123" s="9">
        <f>配置表!M122</f>
        <v>45855</v>
      </c>
      <c r="C123" s="8" t="str">
        <f>配置表!N122</f>
        <v>木</v>
      </c>
      <c r="D123" s="62" t="str">
        <f>配置表!O122</f>
        <v>夏　特別展</v>
      </c>
      <c r="E123" s="67" t="str">
        <f>配置表!P122</f>
        <v>テーマ展</v>
      </c>
      <c r="F123" s="44" t="str">
        <f>配置表!Q122</f>
        <v>○</v>
      </c>
      <c r="G123" s="45">
        <f>配置表!R122</f>
        <v>0</v>
      </c>
      <c r="H123" s="10" t="str">
        <f>配置表!S122</f>
        <v/>
      </c>
      <c r="I123" s="45">
        <f>配置表!T122</f>
        <v>0</v>
      </c>
      <c r="J123" s="10" t="str">
        <f>配置表!U122</f>
        <v>●</v>
      </c>
      <c r="K123" s="32">
        <f>配置表!V122</f>
        <v>0</v>
      </c>
      <c r="L123" s="271" t="str">
        <f>配置表!W122</f>
        <v>○</v>
      </c>
      <c r="M123" s="8">
        <f>配置表!X122</f>
        <v>0</v>
      </c>
      <c r="N123" s="33" t="str">
        <f>配置表!Y122</f>
        <v>○</v>
      </c>
      <c r="O123" s="8">
        <f>配置表!Z122</f>
        <v>5</v>
      </c>
      <c r="P123" s="33" t="str">
        <f>配置表!AA122</f>
        <v>○</v>
      </c>
      <c r="Q123" s="227">
        <f>配置表!AB122</f>
        <v>0.41666666666666669</v>
      </c>
      <c r="R123" s="227">
        <f>配置表!AC122</f>
        <v>0.70833333333333337</v>
      </c>
      <c r="S123" s="238" t="str">
        <f>配置表!AD122</f>
        <v/>
      </c>
      <c r="T123" s="63"/>
      <c r="U123" s="152" t="s">
        <v>69</v>
      </c>
      <c r="V123" s="155" t="s">
        <v>93</v>
      </c>
      <c r="W123" s="155" t="s">
        <v>154</v>
      </c>
      <c r="X123" s="191">
        <v>2.75</v>
      </c>
      <c r="Y123" s="158">
        <v>4</v>
      </c>
      <c r="Z123" s="186">
        <f>COUNTIF(P107:P137,V123)</f>
        <v>0</v>
      </c>
      <c r="AA123" s="154">
        <f t="shared" si="6"/>
        <v>0</v>
      </c>
      <c r="AB123" s="182"/>
      <c r="AC123" s="183">
        <f t="shared" si="7"/>
        <v>0</v>
      </c>
    </row>
    <row r="124" spans="1:30" ht="13.5">
      <c r="A124" s="28" t="str">
        <f>配置表!L123</f>
        <v/>
      </c>
      <c r="B124" s="9">
        <f>配置表!M123</f>
        <v>45856</v>
      </c>
      <c r="C124" s="8" t="str">
        <f>配置表!N123</f>
        <v>金</v>
      </c>
      <c r="D124" s="62" t="str">
        <f>配置表!O123</f>
        <v>夏　特別展</v>
      </c>
      <c r="E124" s="67" t="str">
        <f>配置表!P123</f>
        <v>テーマ展</v>
      </c>
      <c r="F124" s="44" t="str">
        <f>配置表!Q123</f>
        <v>○</v>
      </c>
      <c r="G124" s="45">
        <f>配置表!R123</f>
        <v>0</v>
      </c>
      <c r="H124" s="10" t="str">
        <f>配置表!S123</f>
        <v/>
      </c>
      <c r="I124" s="45">
        <f>配置表!T123</f>
        <v>0</v>
      </c>
      <c r="J124" s="10" t="str">
        <f>配置表!U123</f>
        <v>●</v>
      </c>
      <c r="K124" s="32">
        <f>配置表!V123</f>
        <v>0</v>
      </c>
      <c r="L124" s="33" t="str">
        <f>配置表!W123</f>
        <v>○</v>
      </c>
      <c r="M124" s="8">
        <f>配置表!X123</f>
        <v>0</v>
      </c>
      <c r="N124" s="33" t="str">
        <f>配置表!Y123</f>
        <v>○</v>
      </c>
      <c r="O124" s="8">
        <f>配置表!Z123</f>
        <v>5</v>
      </c>
      <c r="P124" s="33" t="str">
        <f>配置表!AA123</f>
        <v>○</v>
      </c>
      <c r="Q124" s="227">
        <f>配置表!AB123</f>
        <v>0.41666666666666669</v>
      </c>
      <c r="R124" s="227">
        <f>配置表!AC123</f>
        <v>0.70833333333333337</v>
      </c>
      <c r="S124" s="238" t="str">
        <f>配置表!AD123</f>
        <v/>
      </c>
      <c r="T124" s="63"/>
      <c r="U124" s="159" t="s">
        <v>64</v>
      </c>
      <c r="V124" s="160"/>
      <c r="W124" s="160"/>
      <c r="X124" s="188"/>
      <c r="Y124" s="188"/>
      <c r="Z124" s="189">
        <f>SUM(Z107:Z123)</f>
        <v>144</v>
      </c>
      <c r="AA124" s="190">
        <f>SUM(AA107:AA123)</f>
        <v>1813.5</v>
      </c>
      <c r="AB124" s="182"/>
      <c r="AC124" s="183">
        <f>SUM(AC107:AC123)</f>
        <v>0</v>
      </c>
    </row>
    <row r="125" spans="1:30" ht="14.25" thickBot="1">
      <c r="A125" s="28" t="str">
        <f>配置表!L124</f>
        <v/>
      </c>
      <c r="B125" s="9">
        <f>配置表!M124</f>
        <v>45857</v>
      </c>
      <c r="C125" s="8" t="str">
        <f>配置表!N124</f>
        <v>土</v>
      </c>
      <c r="D125" s="62" t="str">
        <f>配置表!O124</f>
        <v>夏　特別展</v>
      </c>
      <c r="E125" s="67" t="str">
        <f>配置表!P124</f>
        <v>テーマ展</v>
      </c>
      <c r="F125" s="44" t="str">
        <f>配置表!Q124</f>
        <v>○</v>
      </c>
      <c r="G125" s="45">
        <f>配置表!R124</f>
        <v>0</v>
      </c>
      <c r="H125" s="10" t="str">
        <f>配置表!S124</f>
        <v>○</v>
      </c>
      <c r="I125" s="45">
        <f>配置表!T124</f>
        <v>0</v>
      </c>
      <c r="J125" s="10" t="str">
        <f>配置表!U124</f>
        <v>●</v>
      </c>
      <c r="K125" s="32">
        <f>配置表!V124</f>
        <v>0</v>
      </c>
      <c r="L125" s="33" t="str">
        <f>配置表!W124</f>
        <v>◎</v>
      </c>
      <c r="M125" s="8">
        <f>配置表!X124</f>
        <v>0</v>
      </c>
      <c r="N125" s="33" t="str">
        <f>配置表!Y124</f>
        <v>○</v>
      </c>
      <c r="O125" s="8">
        <f>配置表!Z124</f>
        <v>5</v>
      </c>
      <c r="P125" s="33" t="str">
        <f>配置表!AA124</f>
        <v>○</v>
      </c>
      <c r="Q125" s="227">
        <f>配置表!AB124</f>
        <v>0.41666666666666669</v>
      </c>
      <c r="R125" s="227">
        <f>配置表!AC124</f>
        <v>0.70833333333333337</v>
      </c>
      <c r="S125" s="238" t="str">
        <f>配置表!AD124</f>
        <v/>
      </c>
      <c r="T125" s="63"/>
      <c r="U125" s="178" t="s">
        <v>65</v>
      </c>
      <c r="V125" s="179"/>
      <c r="W125" s="179"/>
      <c r="X125" s="180"/>
      <c r="Y125" s="180"/>
      <c r="Z125" s="180"/>
      <c r="AA125" s="170"/>
      <c r="AB125" s="184"/>
      <c r="AC125" s="185">
        <f>ROUNDDOWN(AC124*1.1,0)</f>
        <v>0</v>
      </c>
    </row>
    <row r="126" spans="1:30">
      <c r="A126" s="28" t="str">
        <f>配置表!L125</f>
        <v/>
      </c>
      <c r="B126" s="9">
        <f>配置表!M125</f>
        <v>45858</v>
      </c>
      <c r="C126" s="8" t="str">
        <f>配置表!N125</f>
        <v>日</v>
      </c>
      <c r="D126" s="62" t="str">
        <f>配置表!O125</f>
        <v>夏　特別展</v>
      </c>
      <c r="E126" s="67" t="str">
        <f>配置表!P125</f>
        <v>テーマ展</v>
      </c>
      <c r="F126" s="44" t="str">
        <f>配置表!Q125</f>
        <v>○</v>
      </c>
      <c r="G126" s="45">
        <f>配置表!R125</f>
        <v>0</v>
      </c>
      <c r="H126" s="10" t="str">
        <f>配置表!S125</f>
        <v>○</v>
      </c>
      <c r="I126" s="45">
        <f>配置表!T125</f>
        <v>0</v>
      </c>
      <c r="J126" s="10" t="str">
        <f>配置表!U125</f>
        <v>●</v>
      </c>
      <c r="K126" s="32">
        <f>配置表!V125</f>
        <v>0</v>
      </c>
      <c r="L126" s="33" t="str">
        <f>配置表!W125</f>
        <v>◎</v>
      </c>
      <c r="M126" s="8">
        <f>配置表!X125</f>
        <v>0</v>
      </c>
      <c r="N126" s="10" t="str">
        <f>配置表!Y125</f>
        <v>○</v>
      </c>
      <c r="O126" s="32">
        <f>配置表!Z125</f>
        <v>5</v>
      </c>
      <c r="P126" s="33" t="str">
        <f>配置表!AA125</f>
        <v>○</v>
      </c>
      <c r="Q126" s="227">
        <f>配置表!AB125</f>
        <v>0.41666666666666669</v>
      </c>
      <c r="R126" s="227">
        <f>配置表!AC125</f>
        <v>0.70833333333333337</v>
      </c>
      <c r="S126" s="238" t="str">
        <f>配置表!AD125</f>
        <v/>
      </c>
      <c r="T126" s="63"/>
    </row>
    <row r="127" spans="1:30">
      <c r="A127" s="28" t="str">
        <f>配置表!L126</f>
        <v/>
      </c>
      <c r="B127" s="9">
        <f>配置表!M126</f>
        <v>45859</v>
      </c>
      <c r="C127" s="8" t="str">
        <f>配置表!N126</f>
        <v>月</v>
      </c>
      <c r="D127" s="62" t="str">
        <f>配置表!O126</f>
        <v>夏　特別展</v>
      </c>
      <c r="E127" s="67" t="str">
        <f>配置表!P126</f>
        <v>テーマ展</v>
      </c>
      <c r="F127" s="10" t="str">
        <f>配置表!Q126</f>
        <v>○</v>
      </c>
      <c r="G127" s="45">
        <f>配置表!R126</f>
        <v>0</v>
      </c>
      <c r="H127" s="10" t="str">
        <f>配置表!S126</f>
        <v>○</v>
      </c>
      <c r="I127" s="32">
        <f>配置表!T126</f>
        <v>0</v>
      </c>
      <c r="J127" s="33" t="str">
        <f>配置表!U126</f>
        <v>●</v>
      </c>
      <c r="K127" s="8">
        <f>配置表!V126</f>
        <v>0</v>
      </c>
      <c r="L127" s="33" t="str">
        <f>配置表!W126</f>
        <v>◎</v>
      </c>
      <c r="M127" s="8">
        <f>配置表!X126</f>
        <v>0</v>
      </c>
      <c r="N127" s="33" t="str">
        <f>配置表!Y126</f>
        <v>○</v>
      </c>
      <c r="O127" s="8">
        <f>配置表!Z126</f>
        <v>5</v>
      </c>
      <c r="P127" s="33" t="str">
        <f>配置表!AA126</f>
        <v>○</v>
      </c>
      <c r="Q127" s="227">
        <f>配置表!AB126</f>
        <v>0.41666666666666669</v>
      </c>
      <c r="R127" s="227">
        <f>配置表!AC126</f>
        <v>0.70833333333333337</v>
      </c>
      <c r="S127" s="238" t="str">
        <f>配置表!AD126</f>
        <v>海の日</v>
      </c>
      <c r="T127" s="63"/>
    </row>
    <row r="128" spans="1:30">
      <c r="A128" s="28" t="str">
        <f>配置表!L127</f>
        <v>閉</v>
      </c>
      <c r="B128" s="9">
        <f>配置表!M127</f>
        <v>45860</v>
      </c>
      <c r="C128" s="8" t="str">
        <f>配置表!N127</f>
        <v>火</v>
      </c>
      <c r="D128" s="62" t="str">
        <f>配置表!O127</f>
        <v>夏　特別展</v>
      </c>
      <c r="E128" s="67" t="str">
        <f>配置表!P127</f>
        <v>テーマ展</v>
      </c>
      <c r="F128" s="44" t="str">
        <f>配置表!Q127</f>
        <v>休</v>
      </c>
      <c r="G128" s="8">
        <f>配置表!R127</f>
        <v>0</v>
      </c>
      <c r="H128" s="33" t="str">
        <f>配置表!S127</f>
        <v>休</v>
      </c>
      <c r="I128" s="8">
        <f>配置表!T127</f>
        <v>0</v>
      </c>
      <c r="J128" s="33" t="str">
        <f>配置表!U127</f>
        <v>休</v>
      </c>
      <c r="K128" s="8">
        <f>配置表!V127</f>
        <v>0</v>
      </c>
      <c r="L128" s="33" t="str">
        <f>配置表!W127</f>
        <v>休</v>
      </c>
      <c r="M128" s="8">
        <f>配置表!X127</f>
        <v>0</v>
      </c>
      <c r="N128" s="33" t="str">
        <f>配置表!Y127</f>
        <v>休</v>
      </c>
      <c r="O128" s="8" t="str">
        <f>配置表!Z127</f>
        <v/>
      </c>
      <c r="P128" s="33" t="str">
        <f>配置表!AA127</f>
        <v>休</v>
      </c>
      <c r="Q128" s="227" t="str">
        <f>配置表!AB127</f>
        <v/>
      </c>
      <c r="R128" s="227" t="str">
        <f>配置表!AC127</f>
        <v/>
      </c>
      <c r="S128" s="238" t="str">
        <f>配置表!AD127</f>
        <v/>
      </c>
      <c r="T128" s="63"/>
      <c r="U128" s="214"/>
    </row>
    <row r="129" spans="1:29">
      <c r="A129" s="28" t="str">
        <f>配置表!L128</f>
        <v/>
      </c>
      <c r="B129" s="9">
        <f>配置表!M128</f>
        <v>45861</v>
      </c>
      <c r="C129" s="8" t="str">
        <f>配置表!N128</f>
        <v>水</v>
      </c>
      <c r="D129" s="62" t="str">
        <f>配置表!O128</f>
        <v>夏　特別展</v>
      </c>
      <c r="E129" s="67" t="str">
        <f>配置表!P128</f>
        <v>テーマ展</v>
      </c>
      <c r="F129" s="44" t="str">
        <f>配置表!Q128</f>
        <v>○</v>
      </c>
      <c r="G129" s="45">
        <f>配置表!R128</f>
        <v>0</v>
      </c>
      <c r="H129" s="10" t="str">
        <f>配置表!S128</f>
        <v/>
      </c>
      <c r="I129" s="45">
        <f>配置表!T128</f>
        <v>0</v>
      </c>
      <c r="J129" s="10" t="str">
        <f>配置表!U128</f>
        <v>●</v>
      </c>
      <c r="K129" s="32">
        <f>配置表!V128</f>
        <v>0</v>
      </c>
      <c r="L129" s="33" t="str">
        <f>配置表!W128</f>
        <v>○</v>
      </c>
      <c r="M129" s="8">
        <f>配置表!X128</f>
        <v>0</v>
      </c>
      <c r="N129" s="33" t="str">
        <f>配置表!Y128</f>
        <v>○</v>
      </c>
      <c r="O129" s="8">
        <f>配置表!Z128</f>
        <v>5</v>
      </c>
      <c r="P129" s="33" t="str">
        <f>配置表!AA128</f>
        <v>○</v>
      </c>
      <c r="Q129" s="227">
        <f>配置表!AB128</f>
        <v>0.41666666666666669</v>
      </c>
      <c r="R129" s="227">
        <f>配置表!AC128</f>
        <v>0.70833333333333337</v>
      </c>
      <c r="S129" s="238" t="str">
        <f>配置表!AD128</f>
        <v/>
      </c>
      <c r="T129" s="63"/>
      <c r="U129" s="214"/>
    </row>
    <row r="130" spans="1:29">
      <c r="A130" s="28" t="str">
        <f>配置表!L129</f>
        <v/>
      </c>
      <c r="B130" s="9">
        <f>配置表!M129</f>
        <v>45862</v>
      </c>
      <c r="C130" s="8" t="str">
        <f>配置表!N129</f>
        <v>木</v>
      </c>
      <c r="D130" s="62" t="str">
        <f>配置表!O129</f>
        <v>夏　特別展</v>
      </c>
      <c r="E130" s="67" t="str">
        <f>配置表!P129</f>
        <v>テーマ展</v>
      </c>
      <c r="F130" s="44" t="str">
        <f>配置表!Q129</f>
        <v>○</v>
      </c>
      <c r="G130" s="45">
        <f>配置表!R129</f>
        <v>0</v>
      </c>
      <c r="H130" s="10" t="str">
        <f>配置表!S129</f>
        <v/>
      </c>
      <c r="I130" s="45">
        <f>配置表!T129</f>
        <v>0</v>
      </c>
      <c r="J130" s="10" t="str">
        <f>配置表!U129</f>
        <v>●</v>
      </c>
      <c r="K130" s="32">
        <f>配置表!V129</f>
        <v>0</v>
      </c>
      <c r="L130" s="33" t="str">
        <f>配置表!W129</f>
        <v>○</v>
      </c>
      <c r="M130" s="8">
        <f>配置表!X129</f>
        <v>0</v>
      </c>
      <c r="N130" s="33" t="str">
        <f>配置表!Y129</f>
        <v>○</v>
      </c>
      <c r="O130" s="8">
        <f>配置表!Z129</f>
        <v>5</v>
      </c>
      <c r="P130" s="33" t="str">
        <f>配置表!AA129</f>
        <v>○</v>
      </c>
      <c r="Q130" s="227">
        <f>配置表!AB129</f>
        <v>0.41666666666666669</v>
      </c>
      <c r="R130" s="227">
        <f>配置表!AC129</f>
        <v>0.70833333333333337</v>
      </c>
      <c r="S130" s="238" t="str">
        <f>配置表!AD129</f>
        <v/>
      </c>
      <c r="T130" s="63"/>
      <c r="U130" s="334"/>
      <c r="V130" s="162"/>
      <c r="W130" s="162"/>
      <c r="X130" s="4"/>
      <c r="Y130" s="4"/>
      <c r="Z130" s="4"/>
      <c r="AA130" s="4"/>
      <c r="AB130" s="4"/>
      <c r="AC130" s="4"/>
    </row>
    <row r="131" spans="1:29">
      <c r="A131" s="28" t="str">
        <f>配置表!L130</f>
        <v/>
      </c>
      <c r="B131" s="9">
        <f>配置表!M130</f>
        <v>45863</v>
      </c>
      <c r="C131" s="8" t="str">
        <f>配置表!N130</f>
        <v>金</v>
      </c>
      <c r="D131" s="62" t="str">
        <f>配置表!O130</f>
        <v>夏　特別展</v>
      </c>
      <c r="E131" s="67" t="str">
        <f>配置表!P130</f>
        <v>テーマ展</v>
      </c>
      <c r="F131" s="44" t="str">
        <f>配置表!Q130</f>
        <v>○</v>
      </c>
      <c r="G131" s="45">
        <f>配置表!R130</f>
        <v>0</v>
      </c>
      <c r="H131" s="10" t="str">
        <f>配置表!S130</f>
        <v/>
      </c>
      <c r="I131" s="45">
        <f>配置表!T130</f>
        <v>0</v>
      </c>
      <c r="J131" s="10" t="str">
        <f>配置表!U130</f>
        <v>●</v>
      </c>
      <c r="K131" s="32">
        <f>配置表!V130</f>
        <v>0</v>
      </c>
      <c r="L131" s="33" t="str">
        <f>配置表!W130</f>
        <v>○</v>
      </c>
      <c r="M131" s="8">
        <f>配置表!X130</f>
        <v>0</v>
      </c>
      <c r="N131" s="33" t="str">
        <f>配置表!Y130</f>
        <v>○</v>
      </c>
      <c r="O131" s="8">
        <f>配置表!Z130</f>
        <v>5</v>
      </c>
      <c r="P131" s="33" t="str">
        <f>配置表!AA130</f>
        <v>○</v>
      </c>
      <c r="Q131" s="227">
        <f>配置表!AB130</f>
        <v>0.41666666666666669</v>
      </c>
      <c r="R131" s="227">
        <f>配置表!AC130</f>
        <v>0.70833333333333337</v>
      </c>
      <c r="S131" s="238" t="str">
        <f>配置表!AD130</f>
        <v/>
      </c>
      <c r="T131" s="63"/>
      <c r="U131" s="4"/>
      <c r="V131" s="162"/>
      <c r="W131" s="162"/>
      <c r="X131" s="4"/>
      <c r="Y131" s="4"/>
      <c r="Z131" s="4"/>
      <c r="AA131" s="4"/>
      <c r="AB131" s="4"/>
      <c r="AC131" s="4"/>
    </row>
    <row r="132" spans="1:29" ht="13.5">
      <c r="A132" s="28" t="str">
        <f>配置表!L131</f>
        <v/>
      </c>
      <c r="B132" s="9">
        <f>配置表!M131</f>
        <v>45864</v>
      </c>
      <c r="C132" s="8" t="str">
        <f>配置表!N131</f>
        <v>土</v>
      </c>
      <c r="D132" s="62" t="str">
        <f>配置表!O131</f>
        <v>夏　特別展</v>
      </c>
      <c r="E132" s="67" t="str">
        <f>配置表!P131</f>
        <v>テーマ展</v>
      </c>
      <c r="F132" s="44" t="str">
        <f>配置表!Q131</f>
        <v>○</v>
      </c>
      <c r="G132" s="45">
        <f>配置表!R131</f>
        <v>0</v>
      </c>
      <c r="H132" s="10" t="str">
        <f>配置表!S131</f>
        <v>○</v>
      </c>
      <c r="I132" s="45">
        <f>配置表!T131</f>
        <v>0</v>
      </c>
      <c r="J132" s="10" t="str">
        <f>配置表!U131</f>
        <v>●</v>
      </c>
      <c r="K132" s="32">
        <f>配置表!V131</f>
        <v>0</v>
      </c>
      <c r="L132" s="33" t="str">
        <f>配置表!W131</f>
        <v>◎</v>
      </c>
      <c r="M132" s="8">
        <f>配置表!X131</f>
        <v>0</v>
      </c>
      <c r="N132" s="33" t="str">
        <f>配置表!Y131</f>
        <v>○</v>
      </c>
      <c r="O132" s="8">
        <f>配置表!Z131</f>
        <v>5</v>
      </c>
      <c r="P132" s="33" t="str">
        <f>配置表!AA131</f>
        <v>○</v>
      </c>
      <c r="Q132" s="227">
        <f>配置表!AB131</f>
        <v>0.41666666666666669</v>
      </c>
      <c r="R132" s="227">
        <f>配置表!AC131</f>
        <v>0.70833333333333337</v>
      </c>
      <c r="S132" s="238" t="str">
        <f>配置表!AD131</f>
        <v/>
      </c>
      <c r="T132" s="63"/>
      <c r="U132" s="318"/>
      <c r="V132" s="318"/>
      <c r="W132" s="318"/>
      <c r="X132" s="318"/>
      <c r="Y132" s="318"/>
      <c r="Z132" s="318"/>
      <c r="AA132" s="318"/>
      <c r="AB132" s="318"/>
      <c r="AC132" s="318"/>
    </row>
    <row r="133" spans="1:29" ht="13.5">
      <c r="A133" s="28" t="str">
        <f>配置表!L132</f>
        <v/>
      </c>
      <c r="B133" s="9">
        <f>配置表!M132</f>
        <v>45865</v>
      </c>
      <c r="C133" s="8" t="str">
        <f>配置表!N132</f>
        <v>日</v>
      </c>
      <c r="D133" s="62" t="str">
        <f>配置表!O132</f>
        <v>夏　特別展</v>
      </c>
      <c r="E133" s="67" t="str">
        <f>配置表!P132</f>
        <v>テーマ展</v>
      </c>
      <c r="F133" s="44" t="str">
        <f>配置表!Q132</f>
        <v>○</v>
      </c>
      <c r="G133" s="45">
        <f>配置表!R132</f>
        <v>0</v>
      </c>
      <c r="H133" s="10" t="str">
        <f>配置表!S132</f>
        <v>○</v>
      </c>
      <c r="I133" s="45">
        <f>配置表!T132</f>
        <v>0</v>
      </c>
      <c r="J133" s="10" t="str">
        <f>配置表!U132</f>
        <v>●</v>
      </c>
      <c r="K133" s="32">
        <f>配置表!V132</f>
        <v>0</v>
      </c>
      <c r="L133" s="33" t="str">
        <f>配置表!W132</f>
        <v>◎</v>
      </c>
      <c r="M133" s="8">
        <f>配置表!X132</f>
        <v>0</v>
      </c>
      <c r="N133" s="33" t="str">
        <f>配置表!Y132</f>
        <v>○</v>
      </c>
      <c r="O133" s="32">
        <f>配置表!Z132</f>
        <v>5</v>
      </c>
      <c r="P133" s="33" t="str">
        <f>配置表!AA132</f>
        <v>○</v>
      </c>
      <c r="Q133" s="227">
        <f>配置表!AB132</f>
        <v>0.41666666666666669</v>
      </c>
      <c r="R133" s="227">
        <f>配置表!AC132</f>
        <v>0.70833333333333337</v>
      </c>
      <c r="S133" s="238" t="str">
        <f>配置表!AD132</f>
        <v/>
      </c>
      <c r="T133" s="63"/>
      <c r="U133" s="39"/>
      <c r="V133" s="319"/>
      <c r="W133" s="319"/>
      <c r="X133" s="326"/>
      <c r="Y133" s="321"/>
      <c r="Z133" s="26"/>
      <c r="AA133" s="327"/>
      <c r="AB133" s="335"/>
      <c r="AC133" s="335"/>
    </row>
    <row r="134" spans="1:29" ht="13.5">
      <c r="A134" s="28" t="str">
        <f>配置表!L133</f>
        <v>閉</v>
      </c>
      <c r="B134" s="9">
        <f>配置表!M133</f>
        <v>45866</v>
      </c>
      <c r="C134" s="8" t="str">
        <f>配置表!N133</f>
        <v>月</v>
      </c>
      <c r="D134" s="62" t="str">
        <f>配置表!O133</f>
        <v>夏　特別展</v>
      </c>
      <c r="E134" s="67" t="str">
        <f>配置表!P133</f>
        <v>テーマ展</v>
      </c>
      <c r="F134" s="44" t="str">
        <f>配置表!Q133</f>
        <v>休</v>
      </c>
      <c r="G134" s="8">
        <f>配置表!R133</f>
        <v>0</v>
      </c>
      <c r="H134" s="10" t="str">
        <f>配置表!S133</f>
        <v>休</v>
      </c>
      <c r="I134" s="45">
        <f>配置表!T133</f>
        <v>0</v>
      </c>
      <c r="J134" s="33" t="str">
        <f>配置表!U133</f>
        <v>休</v>
      </c>
      <c r="K134" s="8">
        <f>配置表!V133</f>
        <v>0</v>
      </c>
      <c r="L134" s="33" t="str">
        <f>配置表!W133</f>
        <v>休</v>
      </c>
      <c r="M134" s="8">
        <f>配置表!X133</f>
        <v>0</v>
      </c>
      <c r="N134" s="33" t="str">
        <f>配置表!Y133</f>
        <v>休</v>
      </c>
      <c r="O134" s="8" t="str">
        <f>配置表!Z133</f>
        <v/>
      </c>
      <c r="P134" s="33" t="str">
        <f>配置表!AA133</f>
        <v>休</v>
      </c>
      <c r="Q134" s="227" t="str">
        <f>配置表!AB133</f>
        <v/>
      </c>
      <c r="R134" s="227" t="str">
        <f>配置表!AC133</f>
        <v/>
      </c>
      <c r="S134" s="238" t="str">
        <f>配置表!AD133</f>
        <v/>
      </c>
      <c r="T134" s="63"/>
      <c r="U134" s="39"/>
      <c r="V134" s="319"/>
      <c r="W134" s="319"/>
      <c r="X134" s="326"/>
      <c r="Y134" s="321"/>
      <c r="Z134" s="26"/>
      <c r="AA134" s="327"/>
      <c r="AB134" s="335"/>
      <c r="AC134" s="335"/>
    </row>
    <row r="135" spans="1:29" ht="13.5">
      <c r="A135" s="28" t="str">
        <f>配置表!L134</f>
        <v/>
      </c>
      <c r="B135" s="9">
        <f>配置表!M134</f>
        <v>45867</v>
      </c>
      <c r="C135" s="8" t="str">
        <f>配置表!N134</f>
        <v>火</v>
      </c>
      <c r="D135" s="62" t="str">
        <f>配置表!O134</f>
        <v>夏　特別展</v>
      </c>
      <c r="E135" s="67" t="str">
        <f>配置表!P134</f>
        <v>テーマ展</v>
      </c>
      <c r="F135" s="44" t="str">
        <f>配置表!Q134</f>
        <v>○</v>
      </c>
      <c r="G135" s="45">
        <f>配置表!R134</f>
        <v>0</v>
      </c>
      <c r="H135" s="10" t="str">
        <f>配置表!S134</f>
        <v/>
      </c>
      <c r="I135" s="45">
        <f>配置表!T134</f>
        <v>0</v>
      </c>
      <c r="J135" s="10" t="str">
        <f>配置表!U134</f>
        <v>●</v>
      </c>
      <c r="K135" s="32">
        <f>配置表!V134</f>
        <v>0</v>
      </c>
      <c r="L135" s="33" t="str">
        <f>配置表!W134</f>
        <v>○</v>
      </c>
      <c r="M135" s="8">
        <f>配置表!X134</f>
        <v>0</v>
      </c>
      <c r="N135" s="33" t="str">
        <f>配置表!Y134</f>
        <v>○</v>
      </c>
      <c r="O135" s="8">
        <f>配置表!Z134</f>
        <v>5</v>
      </c>
      <c r="P135" s="33" t="str">
        <f>配置表!AA134</f>
        <v>○</v>
      </c>
      <c r="Q135" s="227">
        <f>配置表!AB134</f>
        <v>0.41666666666666669</v>
      </c>
      <c r="R135" s="227">
        <f>配置表!AC134</f>
        <v>0.70833333333333337</v>
      </c>
      <c r="S135" s="238" t="str">
        <f>配置表!AD134</f>
        <v/>
      </c>
      <c r="T135" s="63"/>
      <c r="U135" s="39"/>
      <c r="V135" s="319"/>
      <c r="W135" s="319"/>
      <c r="X135" s="326"/>
      <c r="Y135" s="321"/>
      <c r="Z135" s="26"/>
      <c r="AA135" s="327"/>
      <c r="AB135" s="335"/>
      <c r="AC135" s="335"/>
    </row>
    <row r="136" spans="1:29" ht="13.5">
      <c r="A136" s="28" t="str">
        <f>配置表!L135</f>
        <v/>
      </c>
      <c r="B136" s="9">
        <f>配置表!M135</f>
        <v>45868</v>
      </c>
      <c r="C136" s="8" t="str">
        <f>配置表!N135</f>
        <v>水</v>
      </c>
      <c r="D136" s="62" t="str">
        <f>配置表!O135</f>
        <v>夏　特別展</v>
      </c>
      <c r="E136" s="67" t="str">
        <f>配置表!P135</f>
        <v>テーマ展</v>
      </c>
      <c r="F136" s="44" t="str">
        <f>配置表!Q135</f>
        <v>○</v>
      </c>
      <c r="G136" s="45">
        <f>配置表!R135</f>
        <v>0</v>
      </c>
      <c r="H136" s="10" t="str">
        <f>配置表!S135</f>
        <v/>
      </c>
      <c r="I136" s="45">
        <f>配置表!T135</f>
        <v>0</v>
      </c>
      <c r="J136" s="10" t="str">
        <f>配置表!U135</f>
        <v>●</v>
      </c>
      <c r="K136" s="32">
        <f>配置表!V135</f>
        <v>0</v>
      </c>
      <c r="L136" s="33" t="str">
        <f>配置表!W135</f>
        <v>○</v>
      </c>
      <c r="M136" s="8">
        <f>配置表!X135</f>
        <v>0</v>
      </c>
      <c r="N136" s="33" t="str">
        <f>配置表!Y135</f>
        <v>○</v>
      </c>
      <c r="O136" s="8">
        <f>配置表!Z135</f>
        <v>5</v>
      </c>
      <c r="P136" s="33" t="str">
        <f>配置表!AA135</f>
        <v>○</v>
      </c>
      <c r="Q136" s="227">
        <f>配置表!AB135</f>
        <v>0.41666666666666669</v>
      </c>
      <c r="R136" s="227">
        <f>配置表!AC135</f>
        <v>0.70833333333333337</v>
      </c>
      <c r="S136" s="238" t="str">
        <f>配置表!AD135</f>
        <v/>
      </c>
      <c r="T136" s="63"/>
      <c r="U136" s="39"/>
      <c r="V136" s="319"/>
      <c r="W136" s="319"/>
      <c r="X136" s="326"/>
      <c r="Y136" s="321"/>
      <c r="Z136" s="26"/>
      <c r="AA136" s="327"/>
      <c r="AB136" s="335"/>
      <c r="AC136" s="335"/>
    </row>
    <row r="137" spans="1:29" ht="14.25" thickBot="1">
      <c r="A137" s="28" t="str">
        <f>配置表!L136</f>
        <v/>
      </c>
      <c r="B137" s="29">
        <f>配置表!M136</f>
        <v>45869</v>
      </c>
      <c r="C137" s="27" t="str">
        <f>配置表!N136</f>
        <v>木</v>
      </c>
      <c r="D137" s="64" t="str">
        <f>配置表!O136</f>
        <v>夏　特別展</v>
      </c>
      <c r="E137" s="68" t="str">
        <f>配置表!P136</f>
        <v>テーマ展</v>
      </c>
      <c r="F137" s="40" t="str">
        <f>配置表!Q136</f>
        <v>○</v>
      </c>
      <c r="G137" s="41">
        <f>配置表!R136</f>
        <v>0</v>
      </c>
      <c r="H137" s="34" t="str">
        <f>配置表!S136</f>
        <v/>
      </c>
      <c r="I137" s="41">
        <f>配置表!T136</f>
        <v>0</v>
      </c>
      <c r="J137" s="22" t="str">
        <f>配置表!U136</f>
        <v>●</v>
      </c>
      <c r="K137" s="23">
        <f>配置表!V136</f>
        <v>0</v>
      </c>
      <c r="L137" s="34" t="str">
        <f>配置表!W136</f>
        <v>○</v>
      </c>
      <c r="M137" s="27">
        <f>配置表!X136</f>
        <v>0</v>
      </c>
      <c r="N137" s="34" t="str">
        <f>配置表!Y136</f>
        <v>○</v>
      </c>
      <c r="O137" s="27">
        <f>配置表!Z136</f>
        <v>5</v>
      </c>
      <c r="P137" s="34" t="str">
        <f>配置表!AA136</f>
        <v>○</v>
      </c>
      <c r="Q137" s="233">
        <f>配置表!AB136</f>
        <v>0.41666666666666669</v>
      </c>
      <c r="R137" s="233">
        <f>配置表!AC136</f>
        <v>0.70833333333333337</v>
      </c>
      <c r="S137" s="239" t="str">
        <f>配置表!AD136</f>
        <v/>
      </c>
      <c r="T137" s="63"/>
      <c r="U137" s="328"/>
      <c r="V137" s="328"/>
      <c r="W137" s="328"/>
      <c r="X137" s="329"/>
      <c r="Y137" s="330"/>
      <c r="Z137" s="331"/>
      <c r="AA137" s="332"/>
      <c r="AB137" s="336"/>
      <c r="AC137" s="335"/>
    </row>
    <row r="138" spans="1:29" ht="14.25" thickBot="1">
      <c r="A138" s="28"/>
      <c r="B138" s="7"/>
      <c r="C138" s="8"/>
      <c r="D138" s="11"/>
      <c r="E138" s="8"/>
      <c r="F138" s="24">
        <f>COUNTIF(F107:F137,"○")</f>
        <v>27</v>
      </c>
      <c r="G138" s="10"/>
      <c r="H138" s="10"/>
      <c r="I138" s="10"/>
      <c r="J138" s="10"/>
      <c r="K138" s="8"/>
      <c r="L138" s="10"/>
      <c r="M138" s="8"/>
      <c r="N138" s="10"/>
      <c r="O138" s="8"/>
      <c r="P138" s="10"/>
      <c r="Q138" s="63" t="str">
        <f>IF(ISERROR(VLOOKUP(B138,データ!$A$3:$C$19,2,FALSE)),"",VLOOKUP(B138,データ!$A$3:$C$19,2,FALSE))</f>
        <v/>
      </c>
      <c r="R138" s="63"/>
      <c r="S138" s="63"/>
      <c r="T138" s="63"/>
      <c r="AB138" s="218"/>
      <c r="AC138" s="219">
        <f>ROUNDDOWN(AC137*1.1,0)</f>
        <v>0</v>
      </c>
    </row>
    <row r="139" spans="1:29" customFormat="1" ht="27.75" customHeight="1" thickBot="1">
      <c r="A139" s="28"/>
      <c r="B139" s="58"/>
      <c r="C139" s="59"/>
      <c r="D139" s="42" t="s">
        <v>5</v>
      </c>
      <c r="E139" s="60" t="s">
        <v>6</v>
      </c>
      <c r="F139" s="49" t="s">
        <v>8</v>
      </c>
      <c r="G139" s="354" t="s">
        <v>13</v>
      </c>
      <c r="H139" s="355"/>
      <c r="I139" s="354" t="s">
        <v>14</v>
      </c>
      <c r="J139" s="355"/>
      <c r="K139" s="354" t="s">
        <v>9</v>
      </c>
      <c r="L139" s="355"/>
      <c r="M139" s="354" t="s">
        <v>10</v>
      </c>
      <c r="N139" s="355"/>
      <c r="O139" s="354" t="s">
        <v>1</v>
      </c>
      <c r="P139" s="355"/>
      <c r="Q139" s="38" t="s">
        <v>114</v>
      </c>
      <c r="R139" s="38" t="s">
        <v>35</v>
      </c>
      <c r="S139" s="38" t="s">
        <v>116</v>
      </c>
      <c r="T139" s="63"/>
      <c r="U139" s="149" t="s">
        <v>78</v>
      </c>
      <c r="V139" s="156"/>
      <c r="W139" s="156" t="s">
        <v>74</v>
      </c>
      <c r="X139" s="175" t="s">
        <v>60</v>
      </c>
      <c r="Y139" s="175" t="s">
        <v>70</v>
      </c>
      <c r="Z139" s="150" t="s">
        <v>71</v>
      </c>
      <c r="AA139" s="150" t="s">
        <v>61</v>
      </c>
      <c r="AB139" s="150" t="s">
        <v>62</v>
      </c>
      <c r="AC139" s="151" t="s">
        <v>63</v>
      </c>
    </row>
    <row r="140" spans="1:29" ht="13.5">
      <c r="A140" s="28" t="str">
        <f>配置表!L139</f>
        <v/>
      </c>
      <c r="B140" s="25">
        <f>配置表!M139</f>
        <v>45870</v>
      </c>
      <c r="C140" s="24" t="str">
        <f>配置表!N139</f>
        <v>金</v>
      </c>
      <c r="D140" s="69" t="str">
        <f>配置表!O139</f>
        <v>夏　特別展</v>
      </c>
      <c r="E140" s="66" t="str">
        <f>配置表!P139</f>
        <v>テーマ展</v>
      </c>
      <c r="F140" s="44" t="str">
        <f>配置表!Q139</f>
        <v>○</v>
      </c>
      <c r="G140" s="46">
        <f>配置表!R139</f>
        <v>0</v>
      </c>
      <c r="H140" s="33" t="str">
        <f>配置表!S139</f>
        <v/>
      </c>
      <c r="I140" s="46">
        <f>配置表!T139</f>
        <v>0</v>
      </c>
      <c r="J140" s="24" t="str">
        <f>配置表!U139</f>
        <v>●</v>
      </c>
      <c r="K140" s="35">
        <f>配置表!V139</f>
        <v>0</v>
      </c>
      <c r="L140" s="47" t="str">
        <f>配置表!W139</f>
        <v>○</v>
      </c>
      <c r="M140" s="30">
        <f>配置表!X139</f>
        <v>0</v>
      </c>
      <c r="N140" s="33" t="str">
        <f>配置表!Y139</f>
        <v>○</v>
      </c>
      <c r="O140" s="30">
        <f>配置表!Z139</f>
        <v>5</v>
      </c>
      <c r="P140" s="33" t="str">
        <f>配置表!AA139</f>
        <v>○</v>
      </c>
      <c r="Q140" s="232">
        <f>配置表!AB139</f>
        <v>0.41666666666666669</v>
      </c>
      <c r="R140" s="232">
        <f>配置表!AC139</f>
        <v>0.70833333333333337</v>
      </c>
      <c r="S140" s="237" t="str">
        <f>配置表!AD139</f>
        <v/>
      </c>
      <c r="T140" s="63"/>
      <c r="U140" s="173" t="s">
        <v>88</v>
      </c>
      <c r="V140" s="156"/>
      <c r="W140" s="156"/>
      <c r="X140" s="176"/>
      <c r="Y140" s="177"/>
      <c r="Z140" s="181">
        <f>COUNTIF(F140:F170,V140)</f>
        <v>0</v>
      </c>
      <c r="AA140" s="174">
        <f>X140*Y140*Z140</f>
        <v>0</v>
      </c>
      <c r="AB140" s="181"/>
      <c r="AC140" s="315">
        <f>SUM(AA140*AB140)</f>
        <v>0</v>
      </c>
    </row>
    <row r="141" spans="1:29" ht="13.5">
      <c r="A141" s="28" t="str">
        <f>配置表!L140</f>
        <v/>
      </c>
      <c r="B141" s="9">
        <f>配置表!M140</f>
        <v>45871</v>
      </c>
      <c r="C141" s="10" t="str">
        <f>配置表!N140</f>
        <v>土</v>
      </c>
      <c r="D141" s="62" t="str">
        <f>配置表!O140</f>
        <v>夏　特別展</v>
      </c>
      <c r="E141" s="67" t="str">
        <f>配置表!P140</f>
        <v>テーマ展</v>
      </c>
      <c r="F141" s="44" t="str">
        <f>配置表!Q140</f>
        <v>○</v>
      </c>
      <c r="G141" s="45">
        <f>配置表!R140</f>
        <v>0</v>
      </c>
      <c r="H141" s="33" t="str">
        <f>配置表!S140</f>
        <v>○</v>
      </c>
      <c r="I141" s="45">
        <f>配置表!T140</f>
        <v>0</v>
      </c>
      <c r="J141" s="10" t="str">
        <f>配置表!U140</f>
        <v>●</v>
      </c>
      <c r="K141" s="32">
        <f>配置表!V140</f>
        <v>0</v>
      </c>
      <c r="L141" s="33" t="str">
        <f>配置表!W140</f>
        <v>◎</v>
      </c>
      <c r="M141" s="8">
        <f>配置表!X140</f>
        <v>0</v>
      </c>
      <c r="N141" s="33" t="str">
        <f>配置表!Y140</f>
        <v>○</v>
      </c>
      <c r="O141" s="32">
        <f>配置表!Z140</f>
        <v>5</v>
      </c>
      <c r="P141" s="33" t="str">
        <f>配置表!AA140</f>
        <v>○</v>
      </c>
      <c r="Q141" s="227">
        <f>配置表!AB140</f>
        <v>0.41666666666666669</v>
      </c>
      <c r="R141" s="227">
        <f>配置表!AC140</f>
        <v>0.70833333333333337</v>
      </c>
      <c r="S141" s="238" t="str">
        <f>配置表!AD140</f>
        <v/>
      </c>
      <c r="T141" s="63"/>
      <c r="U141" s="152" t="s">
        <v>88</v>
      </c>
      <c r="V141" s="155" t="s">
        <v>66</v>
      </c>
      <c r="W141" s="274" t="s">
        <v>126</v>
      </c>
      <c r="X141" s="275">
        <v>8.5</v>
      </c>
      <c r="Y141" s="158">
        <v>1</v>
      </c>
      <c r="Z141" s="182">
        <f>COUNTIF(F140:F170,V141)</f>
        <v>27</v>
      </c>
      <c r="AA141" s="154">
        <f t="shared" ref="AA141:AA156" si="8">X141*Y141*Z141</f>
        <v>229.5</v>
      </c>
      <c r="AB141" s="182">
        <f>AB$9</f>
        <v>0</v>
      </c>
      <c r="AC141" s="183">
        <f t="shared" ref="AC141:AC156" si="9">SUM(AA141*AB141)</f>
        <v>0</v>
      </c>
    </row>
    <row r="142" spans="1:29" ht="13.5">
      <c r="A142" s="28" t="str">
        <f>配置表!L141</f>
        <v/>
      </c>
      <c r="B142" s="9">
        <f>配置表!M141</f>
        <v>45872</v>
      </c>
      <c r="C142" s="10" t="str">
        <f>配置表!N141</f>
        <v>日</v>
      </c>
      <c r="D142" s="62" t="str">
        <f>配置表!O141</f>
        <v>夏　特別展</v>
      </c>
      <c r="E142" s="67" t="str">
        <f>配置表!P141</f>
        <v>テーマ展</v>
      </c>
      <c r="F142" s="44" t="str">
        <f>配置表!Q141</f>
        <v>○</v>
      </c>
      <c r="G142" s="45">
        <f>配置表!R141</f>
        <v>0</v>
      </c>
      <c r="H142" s="33" t="str">
        <f>配置表!S141</f>
        <v>○</v>
      </c>
      <c r="I142" s="45">
        <f>配置表!T141</f>
        <v>0</v>
      </c>
      <c r="J142" s="10" t="str">
        <f>配置表!U141</f>
        <v>●</v>
      </c>
      <c r="K142" s="32">
        <f>配置表!V141</f>
        <v>0</v>
      </c>
      <c r="L142" s="33" t="str">
        <f>配置表!W141</f>
        <v>◎</v>
      </c>
      <c r="M142" s="8">
        <f>配置表!X141</f>
        <v>0</v>
      </c>
      <c r="N142" s="10" t="str">
        <f>配置表!Y141</f>
        <v>○</v>
      </c>
      <c r="O142" s="32">
        <f>配置表!Z141</f>
        <v>5</v>
      </c>
      <c r="P142" s="33" t="str">
        <f>配置表!AA141</f>
        <v>○</v>
      </c>
      <c r="Q142" s="227">
        <f>配置表!AB141</f>
        <v>0.41666666666666669</v>
      </c>
      <c r="R142" s="227">
        <f>配置表!AC141</f>
        <v>0.70833333333333337</v>
      </c>
      <c r="S142" s="238" t="str">
        <f>配置表!AD141</f>
        <v/>
      </c>
      <c r="T142" s="63"/>
      <c r="U142" s="152" t="s">
        <v>89</v>
      </c>
      <c r="V142" s="155" t="s">
        <v>66</v>
      </c>
      <c r="W142" s="155" t="s">
        <v>141</v>
      </c>
      <c r="X142" s="191">
        <v>5.25</v>
      </c>
      <c r="Y142" s="158">
        <v>1</v>
      </c>
      <c r="Z142" s="182">
        <f>COUNTIF(H140:H170,V142)</f>
        <v>9</v>
      </c>
      <c r="AA142" s="154">
        <f t="shared" si="8"/>
        <v>47.25</v>
      </c>
      <c r="AB142" s="182">
        <f>AB$10</f>
        <v>0</v>
      </c>
      <c r="AC142" s="183">
        <f t="shared" si="9"/>
        <v>0</v>
      </c>
    </row>
    <row r="143" spans="1:29" ht="13.5">
      <c r="A143" s="28" t="str">
        <f>配置表!L142</f>
        <v>閉</v>
      </c>
      <c r="B143" s="9">
        <f>配置表!M142</f>
        <v>45873</v>
      </c>
      <c r="C143" s="10" t="str">
        <f>配置表!N142</f>
        <v>月</v>
      </c>
      <c r="D143" s="62" t="str">
        <f>配置表!O142</f>
        <v>夏　特別展</v>
      </c>
      <c r="E143" s="67" t="str">
        <f>配置表!P142</f>
        <v>テーマ展</v>
      </c>
      <c r="F143" s="44" t="str">
        <f>配置表!Q142</f>
        <v>休</v>
      </c>
      <c r="G143" s="8">
        <f>配置表!R142</f>
        <v>0</v>
      </c>
      <c r="H143" s="33" t="str">
        <f>配置表!S142</f>
        <v>休</v>
      </c>
      <c r="I143" s="32">
        <f>配置表!T142</f>
        <v>0</v>
      </c>
      <c r="J143" s="33" t="str">
        <f>配置表!U142</f>
        <v>休</v>
      </c>
      <c r="K143" s="8">
        <f>配置表!V142</f>
        <v>0</v>
      </c>
      <c r="L143" s="33" t="str">
        <f>配置表!W142</f>
        <v>休</v>
      </c>
      <c r="M143" s="8">
        <f>配置表!X142</f>
        <v>0</v>
      </c>
      <c r="N143" s="33" t="str">
        <f>配置表!Y142</f>
        <v>休</v>
      </c>
      <c r="O143" s="8" t="str">
        <f>配置表!Z142</f>
        <v/>
      </c>
      <c r="P143" s="33" t="str">
        <f>配置表!AA142</f>
        <v>休</v>
      </c>
      <c r="Q143" s="227" t="str">
        <f>配置表!AB142</f>
        <v/>
      </c>
      <c r="R143" s="227" t="str">
        <f>配置表!AC142</f>
        <v/>
      </c>
      <c r="S143" s="238" t="str">
        <f>配置表!AD142</f>
        <v/>
      </c>
      <c r="T143" s="63"/>
      <c r="U143" s="152"/>
      <c r="V143" s="155"/>
      <c r="W143" s="155"/>
      <c r="X143" s="153"/>
      <c r="Y143" s="158"/>
      <c r="Z143" s="182">
        <f>COUNTIF(H140:H170,V143)</f>
        <v>0</v>
      </c>
      <c r="AA143" s="154">
        <f t="shared" si="8"/>
        <v>0</v>
      </c>
      <c r="AB143" s="182"/>
      <c r="AC143" s="183">
        <f t="shared" si="9"/>
        <v>0</v>
      </c>
    </row>
    <row r="144" spans="1:29" ht="13.5">
      <c r="A144" s="28" t="str">
        <f>配置表!L143</f>
        <v/>
      </c>
      <c r="B144" s="9">
        <f>配置表!M143</f>
        <v>45874</v>
      </c>
      <c r="C144" s="10" t="str">
        <f>配置表!N143</f>
        <v>火</v>
      </c>
      <c r="D144" s="62" t="str">
        <f>配置表!O143</f>
        <v>夏　特別展</v>
      </c>
      <c r="E144" s="67" t="str">
        <f>配置表!P143</f>
        <v>テーマ展</v>
      </c>
      <c r="F144" s="44" t="str">
        <f>配置表!Q143</f>
        <v>○</v>
      </c>
      <c r="G144" s="45">
        <f>配置表!R143</f>
        <v>0</v>
      </c>
      <c r="H144" s="33" t="str">
        <f>配置表!S143</f>
        <v/>
      </c>
      <c r="I144" s="10">
        <f>配置表!T143</f>
        <v>0</v>
      </c>
      <c r="J144" s="10" t="str">
        <f>配置表!U143</f>
        <v>●</v>
      </c>
      <c r="K144" s="32">
        <f>配置表!V143</f>
        <v>0</v>
      </c>
      <c r="L144" s="33" t="str">
        <f>配置表!W143</f>
        <v>○</v>
      </c>
      <c r="M144" s="8">
        <f>配置表!X143</f>
        <v>0</v>
      </c>
      <c r="N144" s="33" t="str">
        <f>配置表!Y143</f>
        <v>○</v>
      </c>
      <c r="O144" s="8">
        <f>配置表!Z143</f>
        <v>5</v>
      </c>
      <c r="P144" s="33" t="str">
        <f>配置表!AA143</f>
        <v>○</v>
      </c>
      <c r="Q144" s="227">
        <f>配置表!AB143</f>
        <v>0.41666666666666669</v>
      </c>
      <c r="R144" s="227">
        <f>配置表!AC143</f>
        <v>0.70833333333333337</v>
      </c>
      <c r="S144" s="238" t="str">
        <f>配置表!AD143</f>
        <v/>
      </c>
      <c r="T144" s="63"/>
      <c r="U144" s="152"/>
      <c r="V144" s="155"/>
      <c r="W144" s="155"/>
      <c r="X144" s="153"/>
      <c r="Y144" s="158"/>
      <c r="Z144" s="182">
        <f>COUNTIF(H140:H170,V144)</f>
        <v>0</v>
      </c>
      <c r="AA144" s="154">
        <f t="shared" si="8"/>
        <v>0</v>
      </c>
      <c r="AB144" s="182"/>
      <c r="AC144" s="183">
        <f t="shared" si="9"/>
        <v>0</v>
      </c>
    </row>
    <row r="145" spans="1:30" ht="13.5">
      <c r="A145" s="28" t="str">
        <f>配置表!L144</f>
        <v/>
      </c>
      <c r="B145" s="9">
        <f>配置表!M144</f>
        <v>45875</v>
      </c>
      <c r="C145" s="10" t="str">
        <f>配置表!N144</f>
        <v>水</v>
      </c>
      <c r="D145" s="62" t="str">
        <f>配置表!O144</f>
        <v>夏　特別展</v>
      </c>
      <c r="E145" s="67" t="str">
        <f>配置表!P144</f>
        <v>テーマ展</v>
      </c>
      <c r="F145" s="44" t="str">
        <f>配置表!Q144</f>
        <v>○</v>
      </c>
      <c r="G145" s="45">
        <f>配置表!R144</f>
        <v>0</v>
      </c>
      <c r="H145" s="33" t="str">
        <f>配置表!S144</f>
        <v/>
      </c>
      <c r="I145" s="10">
        <f>配置表!T144</f>
        <v>0</v>
      </c>
      <c r="J145" s="10" t="str">
        <f>配置表!U144</f>
        <v>●</v>
      </c>
      <c r="K145" s="32">
        <f>配置表!V144</f>
        <v>0</v>
      </c>
      <c r="L145" s="33" t="str">
        <f>配置表!W144</f>
        <v>○</v>
      </c>
      <c r="M145" s="8">
        <f>配置表!X144</f>
        <v>0</v>
      </c>
      <c r="N145" s="33" t="str">
        <f>配置表!Y144</f>
        <v>○</v>
      </c>
      <c r="O145" s="8">
        <f>配置表!Z144</f>
        <v>5</v>
      </c>
      <c r="P145" s="33" t="str">
        <f>配置表!AA144</f>
        <v>○</v>
      </c>
      <c r="Q145" s="227">
        <f>配置表!AB144</f>
        <v>0.41666666666666669</v>
      </c>
      <c r="R145" s="227">
        <f>配置表!AC144</f>
        <v>0.70833333333333337</v>
      </c>
      <c r="S145" s="238" t="str">
        <f>配置表!AD144</f>
        <v/>
      </c>
      <c r="T145" s="63"/>
      <c r="U145" s="152" t="s">
        <v>90</v>
      </c>
      <c r="V145" s="155" t="s">
        <v>46</v>
      </c>
      <c r="W145" s="155" t="s">
        <v>142</v>
      </c>
      <c r="X145" s="191">
        <v>6.75</v>
      </c>
      <c r="Y145" s="158">
        <v>1</v>
      </c>
      <c r="Z145" s="182">
        <f>COUNTIF(J140:J170,V145)</f>
        <v>27</v>
      </c>
      <c r="AA145" s="154">
        <f t="shared" si="8"/>
        <v>182.25</v>
      </c>
      <c r="AB145" s="182">
        <f>AB$13</f>
        <v>0</v>
      </c>
      <c r="AC145" s="183">
        <f t="shared" si="9"/>
        <v>0</v>
      </c>
    </row>
    <row r="146" spans="1:30" ht="13.5">
      <c r="A146" s="28" t="str">
        <f>配置表!L145</f>
        <v/>
      </c>
      <c r="B146" s="9">
        <f>配置表!M145</f>
        <v>45876</v>
      </c>
      <c r="C146" s="10" t="str">
        <f>配置表!N145</f>
        <v>木</v>
      </c>
      <c r="D146" s="62" t="str">
        <f>配置表!O145</f>
        <v>夏　特別展</v>
      </c>
      <c r="E146" s="67" t="str">
        <f>配置表!P145</f>
        <v>テーマ展</v>
      </c>
      <c r="F146" s="44" t="str">
        <f>配置表!Q145</f>
        <v>○</v>
      </c>
      <c r="G146" s="45">
        <f>配置表!R145</f>
        <v>0</v>
      </c>
      <c r="H146" s="33" t="str">
        <f>配置表!S145</f>
        <v/>
      </c>
      <c r="I146" s="10">
        <f>配置表!T145</f>
        <v>0</v>
      </c>
      <c r="J146" s="10" t="str">
        <f>配置表!U145</f>
        <v>●</v>
      </c>
      <c r="K146" s="32">
        <f>配置表!V145</f>
        <v>0</v>
      </c>
      <c r="L146" s="33" t="str">
        <f>配置表!W145</f>
        <v>○</v>
      </c>
      <c r="M146" s="8">
        <f>配置表!X145</f>
        <v>0</v>
      </c>
      <c r="N146" s="33" t="str">
        <f>配置表!Y145</f>
        <v>○</v>
      </c>
      <c r="O146" s="8">
        <f>配置表!Z145</f>
        <v>5</v>
      </c>
      <c r="P146" s="33" t="str">
        <f>配置表!AA145</f>
        <v>○</v>
      </c>
      <c r="Q146" s="227">
        <f>配置表!AB145</f>
        <v>0.41666666666666669</v>
      </c>
      <c r="R146" s="227">
        <f>配置表!AC145</f>
        <v>0.70833333333333337</v>
      </c>
      <c r="S146" s="238" t="str">
        <f>配置表!AD145</f>
        <v/>
      </c>
      <c r="T146" s="63"/>
      <c r="U146" s="152"/>
      <c r="V146" s="155"/>
      <c r="W146" s="155"/>
      <c r="X146" s="153"/>
      <c r="Y146" s="158"/>
      <c r="Z146" s="182">
        <f>COUNTIF(J140:J170,V146)</f>
        <v>0</v>
      </c>
      <c r="AA146" s="154">
        <f t="shared" si="8"/>
        <v>0</v>
      </c>
      <c r="AB146" s="182"/>
      <c r="AC146" s="183">
        <f t="shared" si="9"/>
        <v>0</v>
      </c>
    </row>
    <row r="147" spans="1:30" ht="13.5">
      <c r="A147" s="28" t="str">
        <f>配置表!L146</f>
        <v/>
      </c>
      <c r="B147" s="9">
        <f>配置表!M146</f>
        <v>45877</v>
      </c>
      <c r="C147" s="10" t="str">
        <f>配置表!N146</f>
        <v>金</v>
      </c>
      <c r="D147" s="62" t="str">
        <f>配置表!O146</f>
        <v>夏　特別展</v>
      </c>
      <c r="E147" s="67" t="str">
        <f>配置表!P146</f>
        <v>テーマ展</v>
      </c>
      <c r="F147" s="44" t="str">
        <f>配置表!Q146</f>
        <v>○</v>
      </c>
      <c r="G147" s="45">
        <f>配置表!R146</f>
        <v>0</v>
      </c>
      <c r="H147" s="33" t="str">
        <f>配置表!S146</f>
        <v/>
      </c>
      <c r="I147" s="45">
        <f>配置表!T146</f>
        <v>0</v>
      </c>
      <c r="J147" s="10" t="str">
        <f>配置表!U146</f>
        <v>●</v>
      </c>
      <c r="K147" s="32">
        <f>配置表!V146</f>
        <v>0</v>
      </c>
      <c r="L147" s="33" t="str">
        <f>配置表!W146</f>
        <v>○</v>
      </c>
      <c r="M147" s="8">
        <f>配置表!X146</f>
        <v>0</v>
      </c>
      <c r="N147" s="33" t="str">
        <f>配置表!Y146</f>
        <v>○</v>
      </c>
      <c r="O147" s="8">
        <f>配置表!Z146</f>
        <v>5</v>
      </c>
      <c r="P147" s="33" t="str">
        <f>配置表!AA146</f>
        <v>○</v>
      </c>
      <c r="Q147" s="227">
        <f>配置表!AB146</f>
        <v>0.41666666666666669</v>
      </c>
      <c r="R147" s="227">
        <f>配置表!AC146</f>
        <v>0.70833333333333337</v>
      </c>
      <c r="S147" s="238" t="str">
        <f>配置表!AD146</f>
        <v/>
      </c>
      <c r="T147" s="63"/>
      <c r="U147" s="152" t="s">
        <v>91</v>
      </c>
      <c r="V147" s="155" t="s">
        <v>66</v>
      </c>
      <c r="W147" s="155" t="s">
        <v>141</v>
      </c>
      <c r="X147" s="191">
        <v>5.25</v>
      </c>
      <c r="Y147" s="158">
        <v>1</v>
      </c>
      <c r="Z147" s="186">
        <f>COUNTIF(L140:L170,V147)</f>
        <v>12</v>
      </c>
      <c r="AA147" s="154">
        <f t="shared" si="8"/>
        <v>63</v>
      </c>
      <c r="AB147" s="182">
        <f>AB$15</f>
        <v>0</v>
      </c>
      <c r="AC147" s="183">
        <f t="shared" si="9"/>
        <v>0</v>
      </c>
    </row>
    <row r="148" spans="1:30" ht="13.5">
      <c r="A148" s="28" t="str">
        <f>配置表!L147</f>
        <v/>
      </c>
      <c r="B148" s="9">
        <f>配置表!M147</f>
        <v>45878</v>
      </c>
      <c r="C148" s="10" t="str">
        <f>配置表!N147</f>
        <v>土</v>
      </c>
      <c r="D148" s="62" t="str">
        <f>配置表!O147</f>
        <v>夏　特別展</v>
      </c>
      <c r="E148" s="67" t="str">
        <f>配置表!P147</f>
        <v>テーマ展</v>
      </c>
      <c r="F148" s="44" t="str">
        <f>配置表!Q147</f>
        <v>○</v>
      </c>
      <c r="G148" s="45">
        <f>配置表!R147</f>
        <v>0</v>
      </c>
      <c r="H148" s="33" t="str">
        <f>配置表!S147</f>
        <v>○</v>
      </c>
      <c r="I148" s="45">
        <f>配置表!T147</f>
        <v>0</v>
      </c>
      <c r="J148" s="10" t="str">
        <f>配置表!U147</f>
        <v>●</v>
      </c>
      <c r="K148" s="32">
        <f>配置表!V147</f>
        <v>0</v>
      </c>
      <c r="L148" s="33" t="str">
        <f>配置表!W147</f>
        <v>◎</v>
      </c>
      <c r="M148" s="8">
        <f>配置表!X147</f>
        <v>0</v>
      </c>
      <c r="N148" s="33" t="str">
        <f>配置表!Y147</f>
        <v>○</v>
      </c>
      <c r="O148" s="8">
        <f>配置表!Z147</f>
        <v>5</v>
      </c>
      <c r="P148" s="33" t="str">
        <f>配置表!AA147</f>
        <v>○</v>
      </c>
      <c r="Q148" s="227">
        <f>配置表!AB147</f>
        <v>0.41666666666666669</v>
      </c>
      <c r="R148" s="227">
        <f>配置表!AC147</f>
        <v>0.70833333333333337</v>
      </c>
      <c r="S148" s="238" t="str">
        <f>配置表!AD147</f>
        <v/>
      </c>
      <c r="T148" s="63"/>
      <c r="U148" s="152" t="s">
        <v>18</v>
      </c>
      <c r="V148" s="155" t="s">
        <v>15</v>
      </c>
      <c r="W148" s="155" t="s">
        <v>153</v>
      </c>
      <c r="X148" s="153">
        <v>5</v>
      </c>
      <c r="Y148" s="158">
        <v>1</v>
      </c>
      <c r="Z148" s="186">
        <f>COUNTIF(L140:L170,V148)</f>
        <v>9</v>
      </c>
      <c r="AA148" s="154">
        <f t="shared" si="8"/>
        <v>45</v>
      </c>
      <c r="AB148" s="182">
        <f>AB$16</f>
        <v>0</v>
      </c>
      <c r="AC148" s="183">
        <f t="shared" si="9"/>
        <v>0</v>
      </c>
    </row>
    <row r="149" spans="1:30" ht="13.5">
      <c r="A149" s="28" t="str">
        <f>配置表!L148</f>
        <v/>
      </c>
      <c r="B149" s="9">
        <f>配置表!M148</f>
        <v>45879</v>
      </c>
      <c r="C149" s="10" t="str">
        <f>配置表!N148</f>
        <v>日</v>
      </c>
      <c r="D149" s="62" t="str">
        <f>配置表!O148</f>
        <v>夏　特別展</v>
      </c>
      <c r="E149" s="67" t="str">
        <f>配置表!P148</f>
        <v>テーマ展</v>
      </c>
      <c r="F149" s="44" t="str">
        <f>配置表!Q148</f>
        <v>○</v>
      </c>
      <c r="G149" s="45">
        <f>配置表!R148</f>
        <v>0</v>
      </c>
      <c r="H149" s="33" t="str">
        <f>配置表!S148</f>
        <v>○</v>
      </c>
      <c r="I149" s="45">
        <f>配置表!T148</f>
        <v>0</v>
      </c>
      <c r="J149" s="10" t="str">
        <f>配置表!U148</f>
        <v>●</v>
      </c>
      <c r="K149" s="32">
        <f>配置表!V148</f>
        <v>0</v>
      </c>
      <c r="L149" s="33" t="str">
        <f>配置表!W148</f>
        <v>◎</v>
      </c>
      <c r="M149" s="8">
        <f>配置表!X148</f>
        <v>0</v>
      </c>
      <c r="N149" s="10" t="str">
        <f>配置表!Y148</f>
        <v>○</v>
      </c>
      <c r="O149" s="32">
        <f>配置表!Z148</f>
        <v>5</v>
      </c>
      <c r="P149" s="33" t="str">
        <f>配置表!AA148</f>
        <v>○</v>
      </c>
      <c r="Q149" s="227">
        <f>配置表!AB148</f>
        <v>0.41666666666666669</v>
      </c>
      <c r="R149" s="227">
        <f>配置表!AC148</f>
        <v>0.70833333333333337</v>
      </c>
      <c r="S149" s="238" t="str">
        <f>配置表!AD148</f>
        <v/>
      </c>
      <c r="T149" s="63"/>
      <c r="U149" s="152"/>
      <c r="V149" s="155"/>
      <c r="W149" s="155"/>
      <c r="X149" s="153"/>
      <c r="Y149" s="158"/>
      <c r="Z149" s="186">
        <f>COUNTIF(N140:N170,V149)</f>
        <v>0</v>
      </c>
      <c r="AA149" s="154">
        <f t="shared" si="8"/>
        <v>0</v>
      </c>
      <c r="AB149" s="182"/>
      <c r="AC149" s="183">
        <f t="shared" si="9"/>
        <v>0</v>
      </c>
    </row>
    <row r="150" spans="1:30" ht="13.5">
      <c r="A150" s="28" t="str">
        <f>配置表!L149</f>
        <v/>
      </c>
      <c r="B150" s="9">
        <f>配置表!M149</f>
        <v>45880</v>
      </c>
      <c r="C150" s="10" t="str">
        <f>配置表!N149</f>
        <v>月</v>
      </c>
      <c r="D150" s="62" t="str">
        <f>配置表!O149</f>
        <v>夏　特別展</v>
      </c>
      <c r="E150" s="67" t="str">
        <f>配置表!P149</f>
        <v>テーマ展</v>
      </c>
      <c r="F150" s="44" t="str">
        <f>配置表!Q149</f>
        <v>○</v>
      </c>
      <c r="G150" s="8">
        <f>配置表!R149</f>
        <v>0</v>
      </c>
      <c r="H150" s="33" t="str">
        <f>配置表!S149</f>
        <v>○</v>
      </c>
      <c r="I150" s="8">
        <f>配置表!T149</f>
        <v>0</v>
      </c>
      <c r="J150" s="33" t="str">
        <f>配置表!U149</f>
        <v>●</v>
      </c>
      <c r="K150" s="8">
        <f>配置表!V149</f>
        <v>0</v>
      </c>
      <c r="L150" s="33" t="str">
        <f>配置表!W149</f>
        <v>◎</v>
      </c>
      <c r="M150" s="8">
        <f>配置表!X149</f>
        <v>0</v>
      </c>
      <c r="N150" s="33" t="str">
        <f>配置表!Y149</f>
        <v>○</v>
      </c>
      <c r="O150" s="8">
        <f>配置表!Z149</f>
        <v>5</v>
      </c>
      <c r="P150" s="33" t="str">
        <f>配置表!AA149</f>
        <v>○</v>
      </c>
      <c r="Q150" s="227">
        <f>配置表!AB149</f>
        <v>0.41666666666666669</v>
      </c>
      <c r="R150" s="227">
        <f>配置表!AC149</f>
        <v>0.70833333333333337</v>
      </c>
      <c r="S150" s="238" t="str">
        <f>配置表!AD149</f>
        <v>山の日</v>
      </c>
      <c r="T150" s="63"/>
      <c r="U150" s="152"/>
      <c r="V150" s="155"/>
      <c r="W150" s="274"/>
      <c r="X150" s="275"/>
      <c r="Y150" s="158"/>
      <c r="Z150" s="186">
        <f>COUNTIF(N140:N170,V150)</f>
        <v>0</v>
      </c>
      <c r="AA150" s="154">
        <f t="shared" si="8"/>
        <v>0</v>
      </c>
      <c r="AB150" s="182"/>
      <c r="AC150" s="183">
        <f t="shared" si="9"/>
        <v>0</v>
      </c>
    </row>
    <row r="151" spans="1:30" ht="13.5">
      <c r="A151" s="28" t="str">
        <f>配置表!L150</f>
        <v>閉</v>
      </c>
      <c r="B151" s="9">
        <f>配置表!M150</f>
        <v>45881</v>
      </c>
      <c r="C151" s="10" t="str">
        <f>配置表!N150</f>
        <v>火</v>
      </c>
      <c r="D151" s="62" t="str">
        <f>配置表!O150</f>
        <v>夏　特別展</v>
      </c>
      <c r="E151" s="67" t="str">
        <f>配置表!P150</f>
        <v>テーマ展</v>
      </c>
      <c r="F151" s="44" t="str">
        <f>配置表!Q150</f>
        <v>休</v>
      </c>
      <c r="G151" s="45">
        <f>配置表!R150</f>
        <v>0</v>
      </c>
      <c r="H151" s="10" t="str">
        <f>配置表!S150</f>
        <v>休</v>
      </c>
      <c r="I151" s="45">
        <f>配置表!T150</f>
        <v>0</v>
      </c>
      <c r="J151" s="10" t="str">
        <f>配置表!U150</f>
        <v>休</v>
      </c>
      <c r="K151" s="32">
        <f>配置表!V150</f>
        <v>0</v>
      </c>
      <c r="L151" s="33" t="str">
        <f>配置表!W150</f>
        <v>休</v>
      </c>
      <c r="M151" s="8">
        <f>配置表!X150</f>
        <v>0</v>
      </c>
      <c r="N151" s="33" t="str">
        <f>配置表!Y150</f>
        <v>休</v>
      </c>
      <c r="O151" s="8" t="str">
        <f>配置表!Z150</f>
        <v/>
      </c>
      <c r="P151" s="33" t="str">
        <f>配置表!AA150</f>
        <v>休</v>
      </c>
      <c r="Q151" s="227" t="str">
        <f>配置表!AB150</f>
        <v/>
      </c>
      <c r="R151" s="227" t="str">
        <f>配置表!AC150</f>
        <v/>
      </c>
      <c r="S151" s="238" t="str">
        <f>配置表!AD150</f>
        <v/>
      </c>
      <c r="T151" s="63"/>
      <c r="U151" s="152" t="s">
        <v>19</v>
      </c>
      <c r="V151" s="155" t="s">
        <v>66</v>
      </c>
      <c r="W151" s="274" t="s">
        <v>127</v>
      </c>
      <c r="X151" s="275">
        <v>7.5</v>
      </c>
      <c r="Y151" s="158">
        <v>1</v>
      </c>
      <c r="Z151" s="186">
        <f>COUNTIF(N140:N170,V151)</f>
        <v>27</v>
      </c>
      <c r="AA151" s="154">
        <f t="shared" si="8"/>
        <v>202.5</v>
      </c>
      <c r="AB151" s="182">
        <f>AB$19</f>
        <v>0</v>
      </c>
      <c r="AC151" s="183">
        <f t="shared" si="9"/>
        <v>0</v>
      </c>
    </row>
    <row r="152" spans="1:30" ht="13.5">
      <c r="A152" s="28" t="str">
        <f>配置表!L151</f>
        <v/>
      </c>
      <c r="B152" s="9">
        <f>配置表!M151</f>
        <v>45882</v>
      </c>
      <c r="C152" s="10" t="str">
        <f>配置表!N151</f>
        <v>水</v>
      </c>
      <c r="D152" s="62" t="str">
        <f>配置表!O151</f>
        <v>夏　特別展</v>
      </c>
      <c r="E152" s="67" t="str">
        <f>配置表!P151</f>
        <v>テーマ展</v>
      </c>
      <c r="F152" s="44" t="str">
        <f>配置表!Q151</f>
        <v>○</v>
      </c>
      <c r="G152" s="45">
        <f>配置表!R151</f>
        <v>0</v>
      </c>
      <c r="H152" s="10" t="str">
        <f>配置表!S151</f>
        <v/>
      </c>
      <c r="I152" s="45">
        <f>配置表!T151</f>
        <v>0</v>
      </c>
      <c r="J152" s="10" t="str">
        <f>配置表!U151</f>
        <v>●</v>
      </c>
      <c r="K152" s="32">
        <f>配置表!V151</f>
        <v>0</v>
      </c>
      <c r="L152" s="33" t="str">
        <f>配置表!W151</f>
        <v>○</v>
      </c>
      <c r="M152" s="8">
        <f>配置表!X151</f>
        <v>0</v>
      </c>
      <c r="N152" s="33" t="str">
        <f>配置表!Y151</f>
        <v>○</v>
      </c>
      <c r="O152" s="8">
        <f>配置表!Z151</f>
        <v>5</v>
      </c>
      <c r="P152" s="33" t="str">
        <f>配置表!AA151</f>
        <v>○</v>
      </c>
      <c r="Q152" s="227">
        <f>配置表!AB151</f>
        <v>0.41666666666666669</v>
      </c>
      <c r="R152" s="227">
        <f>配置表!AC151</f>
        <v>0.70833333333333337</v>
      </c>
      <c r="S152" s="238" t="str">
        <f>配置表!AD151</f>
        <v/>
      </c>
      <c r="T152" s="63"/>
      <c r="U152" s="152"/>
      <c r="V152" s="155"/>
      <c r="W152" s="155"/>
      <c r="X152" s="153"/>
      <c r="Y152" s="158"/>
      <c r="Z152" s="186">
        <f>COUNTIF(P140:P170,V152)</f>
        <v>0</v>
      </c>
      <c r="AA152" s="154">
        <f t="shared" si="8"/>
        <v>0</v>
      </c>
      <c r="AB152" s="182"/>
      <c r="AC152" s="183">
        <f t="shared" si="9"/>
        <v>0</v>
      </c>
    </row>
    <row r="153" spans="1:30" ht="13.5">
      <c r="A153" s="28" t="str">
        <f>配置表!L152</f>
        <v/>
      </c>
      <c r="B153" s="9">
        <f>配置表!M152</f>
        <v>45883</v>
      </c>
      <c r="C153" s="10" t="str">
        <f>配置表!N152</f>
        <v>木</v>
      </c>
      <c r="D153" s="62" t="str">
        <f>配置表!O152</f>
        <v>夏　特別展</v>
      </c>
      <c r="E153" s="67" t="str">
        <f>配置表!P152</f>
        <v>テーマ展</v>
      </c>
      <c r="F153" s="44" t="str">
        <f>配置表!Q152</f>
        <v>○</v>
      </c>
      <c r="G153" s="45">
        <f>配置表!R152</f>
        <v>0</v>
      </c>
      <c r="H153" s="10" t="str">
        <f>配置表!S152</f>
        <v/>
      </c>
      <c r="I153" s="45">
        <f>配置表!T152</f>
        <v>0</v>
      </c>
      <c r="J153" s="10" t="str">
        <f>配置表!U152</f>
        <v>●</v>
      </c>
      <c r="K153" s="32">
        <f>配置表!V152</f>
        <v>0</v>
      </c>
      <c r="L153" s="33" t="str">
        <f>配置表!W152</f>
        <v>○</v>
      </c>
      <c r="M153" s="8">
        <f>配置表!X152</f>
        <v>0</v>
      </c>
      <c r="N153" s="33" t="str">
        <f>配置表!Y152</f>
        <v>○</v>
      </c>
      <c r="O153" s="8">
        <f>配置表!Z152</f>
        <v>5</v>
      </c>
      <c r="P153" s="33" t="str">
        <f>配置表!AA152</f>
        <v>○</v>
      </c>
      <c r="Q153" s="227">
        <f>配置表!AB152</f>
        <v>0.41666666666666669</v>
      </c>
      <c r="R153" s="227">
        <f>配置表!AC152</f>
        <v>0.70833333333333337</v>
      </c>
      <c r="S153" s="238" t="str">
        <f>配置表!AD152</f>
        <v/>
      </c>
      <c r="T153" s="63"/>
      <c r="U153" s="152"/>
      <c r="V153" s="155"/>
      <c r="W153" s="274"/>
      <c r="X153" s="275"/>
      <c r="Y153" s="158"/>
      <c r="Z153" s="182">
        <f>COUNTIF(P140:P170,V153)</f>
        <v>0</v>
      </c>
      <c r="AA153" s="154">
        <f t="shared" si="8"/>
        <v>0</v>
      </c>
      <c r="AB153" s="182"/>
      <c r="AC153" s="183">
        <f t="shared" si="9"/>
        <v>0</v>
      </c>
    </row>
    <row r="154" spans="1:30" ht="13.5">
      <c r="A154" s="28" t="str">
        <f>配置表!L153</f>
        <v/>
      </c>
      <c r="B154" s="9">
        <f>配置表!M153</f>
        <v>45884</v>
      </c>
      <c r="C154" s="10" t="str">
        <f>配置表!N153</f>
        <v>金</v>
      </c>
      <c r="D154" s="62" t="str">
        <f>配置表!O153</f>
        <v>夏　特別展</v>
      </c>
      <c r="E154" s="67" t="str">
        <f>配置表!P153</f>
        <v>テーマ展</v>
      </c>
      <c r="F154" s="44" t="str">
        <f>配置表!Q153</f>
        <v>○</v>
      </c>
      <c r="G154" s="45">
        <f>配置表!R153</f>
        <v>0</v>
      </c>
      <c r="H154" s="33" t="str">
        <f>配置表!S153</f>
        <v/>
      </c>
      <c r="I154" s="45">
        <f>配置表!T153</f>
        <v>0</v>
      </c>
      <c r="J154" s="10" t="str">
        <f>配置表!U153</f>
        <v>●</v>
      </c>
      <c r="K154" s="32">
        <f>配置表!V153</f>
        <v>0</v>
      </c>
      <c r="L154" s="33" t="str">
        <f>配置表!W153</f>
        <v>○</v>
      </c>
      <c r="M154" s="8">
        <f>配置表!X153</f>
        <v>0</v>
      </c>
      <c r="N154" s="33" t="str">
        <f>配置表!Y153</f>
        <v>○</v>
      </c>
      <c r="O154" s="8">
        <f>配置表!Z153</f>
        <v>5</v>
      </c>
      <c r="P154" s="33" t="str">
        <f>配置表!AA153</f>
        <v>○</v>
      </c>
      <c r="Q154" s="227">
        <f>配置表!AB153</f>
        <v>0.41666666666666669</v>
      </c>
      <c r="R154" s="227">
        <f>配置表!AC153</f>
        <v>0.70833333333333337</v>
      </c>
      <c r="S154" s="238" t="str">
        <f>配置表!AD153</f>
        <v/>
      </c>
      <c r="T154" s="63"/>
      <c r="U154" s="152" t="s">
        <v>69</v>
      </c>
      <c r="V154" s="155" t="s">
        <v>66</v>
      </c>
      <c r="W154" s="274" t="s">
        <v>127</v>
      </c>
      <c r="X154" s="275">
        <v>7.5</v>
      </c>
      <c r="Y154" s="158">
        <v>5</v>
      </c>
      <c r="Z154" s="182">
        <f>COUNTIF(P140:P170,V154)</f>
        <v>21</v>
      </c>
      <c r="AA154" s="154">
        <f t="shared" si="8"/>
        <v>787.5</v>
      </c>
      <c r="AB154" s="182">
        <f>AB$22</f>
        <v>0</v>
      </c>
      <c r="AC154" s="183">
        <f t="shared" si="9"/>
        <v>0</v>
      </c>
    </row>
    <row r="155" spans="1:30" ht="13.5">
      <c r="A155" s="28" t="str">
        <f>配置表!L154</f>
        <v/>
      </c>
      <c r="B155" s="9">
        <f>配置表!M154</f>
        <v>45885</v>
      </c>
      <c r="C155" s="10" t="str">
        <f>配置表!N154</f>
        <v>土</v>
      </c>
      <c r="D155" s="62" t="str">
        <f>配置表!O154</f>
        <v>夏　特別展</v>
      </c>
      <c r="E155" s="67" t="str">
        <f>配置表!P154</f>
        <v>テーマ展</v>
      </c>
      <c r="F155" s="44" t="str">
        <f>配置表!Q154</f>
        <v>○</v>
      </c>
      <c r="G155" s="45">
        <f>配置表!R154</f>
        <v>0</v>
      </c>
      <c r="H155" s="33" t="str">
        <f>配置表!S154</f>
        <v>○</v>
      </c>
      <c r="I155" s="45">
        <f>配置表!T154</f>
        <v>0</v>
      </c>
      <c r="J155" s="10" t="str">
        <f>配置表!U154</f>
        <v>●</v>
      </c>
      <c r="K155" s="32">
        <f>配置表!V154</f>
        <v>0</v>
      </c>
      <c r="L155" s="33" t="str">
        <f>配置表!W154</f>
        <v>◎</v>
      </c>
      <c r="M155" s="8">
        <f>配置表!X154</f>
        <v>0</v>
      </c>
      <c r="N155" s="33" t="str">
        <f>配置表!Y154</f>
        <v>○</v>
      </c>
      <c r="O155" s="8">
        <f>配置表!Z154</f>
        <v>5</v>
      </c>
      <c r="P155" s="33" t="str">
        <f>配置表!AA154</f>
        <v>○</v>
      </c>
      <c r="Q155" s="227">
        <f>配置表!AB154</f>
        <v>0.41666666666666669</v>
      </c>
      <c r="R155" s="227">
        <f>配置表!AC154</f>
        <v>0.70833333333333337</v>
      </c>
      <c r="S155" s="238" t="str">
        <f>配置表!AD154</f>
        <v/>
      </c>
      <c r="T155" s="63"/>
      <c r="U155" s="187" t="s">
        <v>69</v>
      </c>
      <c r="V155" s="155" t="s">
        <v>75</v>
      </c>
      <c r="W155" s="274" t="s">
        <v>127</v>
      </c>
      <c r="X155" s="275">
        <v>7.5</v>
      </c>
      <c r="Y155" s="158">
        <v>1</v>
      </c>
      <c r="Z155" s="186">
        <f>COUNTIF(P140:P170,V155)+Z156</f>
        <v>6</v>
      </c>
      <c r="AA155" s="154">
        <f t="shared" si="8"/>
        <v>45</v>
      </c>
      <c r="AB155" s="182">
        <f>AB$56</f>
        <v>0</v>
      </c>
      <c r="AC155" s="183">
        <f t="shared" si="9"/>
        <v>0</v>
      </c>
      <c r="AD155" s="1" t="s">
        <v>95</v>
      </c>
    </row>
    <row r="156" spans="1:30" ht="13.5">
      <c r="A156" s="28" t="str">
        <f>配置表!L155</f>
        <v/>
      </c>
      <c r="B156" s="9">
        <f>配置表!M155</f>
        <v>45886</v>
      </c>
      <c r="C156" s="10" t="str">
        <f>配置表!N155</f>
        <v>日</v>
      </c>
      <c r="D156" s="62" t="str">
        <f>配置表!O155</f>
        <v>夏　特別展</v>
      </c>
      <c r="E156" s="67" t="str">
        <f>配置表!P155</f>
        <v>テーマ展</v>
      </c>
      <c r="F156" s="44" t="str">
        <f>配置表!Q155</f>
        <v>○</v>
      </c>
      <c r="G156" s="45">
        <f>配置表!R155</f>
        <v>0</v>
      </c>
      <c r="H156" s="33" t="str">
        <f>配置表!S155</f>
        <v>○</v>
      </c>
      <c r="I156" s="45">
        <f>配置表!T155</f>
        <v>0</v>
      </c>
      <c r="J156" s="10" t="str">
        <f>配置表!U155</f>
        <v>●</v>
      </c>
      <c r="K156" s="32">
        <f>配置表!V155</f>
        <v>0</v>
      </c>
      <c r="L156" s="33" t="str">
        <f>配置表!W155</f>
        <v>◎</v>
      </c>
      <c r="M156" s="8">
        <f>配置表!X155</f>
        <v>0</v>
      </c>
      <c r="N156" s="10" t="str">
        <f>配置表!Y155</f>
        <v>○</v>
      </c>
      <c r="O156" s="32">
        <f>配置表!Z155</f>
        <v>5</v>
      </c>
      <c r="P156" s="33" t="str">
        <f>配置表!AA155</f>
        <v>○</v>
      </c>
      <c r="Q156" s="227">
        <f>配置表!AB155</f>
        <v>0.41666666666666669</v>
      </c>
      <c r="R156" s="227">
        <f>配置表!AC155</f>
        <v>0.70833333333333337</v>
      </c>
      <c r="S156" s="238" t="str">
        <f>配置表!AD155</f>
        <v/>
      </c>
      <c r="T156" s="63"/>
      <c r="U156" s="152" t="s">
        <v>69</v>
      </c>
      <c r="V156" s="155" t="s">
        <v>93</v>
      </c>
      <c r="W156" s="155" t="s">
        <v>154</v>
      </c>
      <c r="X156" s="191">
        <v>2.75</v>
      </c>
      <c r="Y156" s="158">
        <v>4</v>
      </c>
      <c r="Z156" s="186">
        <f>COUNTIF(P140:P170,V156)</f>
        <v>0</v>
      </c>
      <c r="AA156" s="154">
        <f t="shared" si="8"/>
        <v>0</v>
      </c>
      <c r="AB156" s="182"/>
      <c r="AC156" s="183">
        <f t="shared" si="9"/>
        <v>0</v>
      </c>
    </row>
    <row r="157" spans="1:30" ht="13.5">
      <c r="A157" s="28" t="str">
        <f>配置表!L156</f>
        <v>閉</v>
      </c>
      <c r="B157" s="9">
        <f>配置表!M156</f>
        <v>45887</v>
      </c>
      <c r="C157" s="10" t="str">
        <f>配置表!N156</f>
        <v>月</v>
      </c>
      <c r="D157" s="62" t="str">
        <f>配置表!O156</f>
        <v>夏　特別展</v>
      </c>
      <c r="E157" s="67" t="str">
        <f>配置表!P156</f>
        <v>テーマ展</v>
      </c>
      <c r="F157" s="44" t="str">
        <f>配置表!Q156</f>
        <v>休</v>
      </c>
      <c r="G157" s="8">
        <f>配置表!R156</f>
        <v>0</v>
      </c>
      <c r="H157" s="33" t="str">
        <f>配置表!S156</f>
        <v>休</v>
      </c>
      <c r="I157" s="32">
        <f>配置表!T156</f>
        <v>0</v>
      </c>
      <c r="J157" s="33" t="str">
        <f>配置表!U156</f>
        <v>休</v>
      </c>
      <c r="K157" s="8">
        <f>配置表!V156</f>
        <v>0</v>
      </c>
      <c r="L157" s="33" t="str">
        <f>配置表!W156</f>
        <v>休</v>
      </c>
      <c r="M157" s="8">
        <f>配置表!X156</f>
        <v>0</v>
      </c>
      <c r="N157" s="33" t="str">
        <f>配置表!Y156</f>
        <v>休</v>
      </c>
      <c r="O157" s="8" t="str">
        <f>配置表!Z156</f>
        <v/>
      </c>
      <c r="P157" s="33" t="str">
        <f>配置表!AA156</f>
        <v>休</v>
      </c>
      <c r="Q157" s="227" t="str">
        <f>配置表!AB156</f>
        <v/>
      </c>
      <c r="R157" s="227" t="str">
        <f>配置表!AC156</f>
        <v/>
      </c>
      <c r="S157" s="238" t="str">
        <f>配置表!AD156</f>
        <v/>
      </c>
      <c r="T157" s="63"/>
      <c r="U157" s="159" t="s">
        <v>64</v>
      </c>
      <c r="V157" s="160"/>
      <c r="W157" s="160"/>
      <c r="X157" s="188"/>
      <c r="Y157" s="188"/>
      <c r="Z157" s="189">
        <f>SUM(Z140:Z156)</f>
        <v>138</v>
      </c>
      <c r="AA157" s="190">
        <f>SUM(AA140:AA156)</f>
        <v>1602</v>
      </c>
      <c r="AB157" s="182"/>
      <c r="AC157" s="183">
        <f>SUM(AC140:AC156)</f>
        <v>0</v>
      </c>
    </row>
    <row r="158" spans="1:30" ht="14.25" thickBot="1">
      <c r="A158" s="28" t="str">
        <f>配置表!L157</f>
        <v/>
      </c>
      <c r="B158" s="9">
        <f>配置表!M157</f>
        <v>45888</v>
      </c>
      <c r="C158" s="10" t="str">
        <f>配置表!N157</f>
        <v>火</v>
      </c>
      <c r="D158" s="62" t="str">
        <f>配置表!O157</f>
        <v>夏　特別展</v>
      </c>
      <c r="E158" s="67" t="str">
        <f>配置表!P157</f>
        <v>テーマ展</v>
      </c>
      <c r="F158" s="44" t="str">
        <f>配置表!Q157</f>
        <v>○</v>
      </c>
      <c r="G158" s="45">
        <f>配置表!R157</f>
        <v>0</v>
      </c>
      <c r="H158" s="10" t="str">
        <f>配置表!S157</f>
        <v/>
      </c>
      <c r="I158" s="45">
        <f>配置表!T157</f>
        <v>0</v>
      </c>
      <c r="J158" s="10" t="str">
        <f>配置表!U157</f>
        <v>●</v>
      </c>
      <c r="K158" s="32">
        <f>配置表!V157</f>
        <v>0</v>
      </c>
      <c r="L158" s="33" t="str">
        <f>配置表!W157</f>
        <v>○</v>
      </c>
      <c r="M158" s="8">
        <f>配置表!X157</f>
        <v>0</v>
      </c>
      <c r="N158" s="33" t="str">
        <f>配置表!Y157</f>
        <v>○</v>
      </c>
      <c r="O158" s="8">
        <f>配置表!Z157</f>
        <v>5</v>
      </c>
      <c r="P158" s="33" t="str">
        <f>配置表!AA157</f>
        <v>○</v>
      </c>
      <c r="Q158" s="227">
        <f>配置表!AB157</f>
        <v>0.41666666666666669</v>
      </c>
      <c r="R158" s="227">
        <f>配置表!AC157</f>
        <v>0.70833333333333337</v>
      </c>
      <c r="S158" s="238" t="str">
        <f>配置表!AD157</f>
        <v/>
      </c>
      <c r="T158" s="63"/>
      <c r="U158" s="178" t="s">
        <v>65</v>
      </c>
      <c r="V158" s="179"/>
      <c r="W158" s="179"/>
      <c r="X158" s="180"/>
      <c r="Y158" s="180"/>
      <c r="Z158" s="180"/>
      <c r="AA158" s="170"/>
      <c r="AB158" s="184"/>
      <c r="AC158" s="185">
        <f>ROUNDDOWN(AC157*1.1,0)</f>
        <v>0</v>
      </c>
    </row>
    <row r="159" spans="1:30">
      <c r="A159" s="28" t="str">
        <f>配置表!L158</f>
        <v/>
      </c>
      <c r="B159" s="9">
        <f>配置表!M158</f>
        <v>45889</v>
      </c>
      <c r="C159" s="10" t="str">
        <f>配置表!N158</f>
        <v>水</v>
      </c>
      <c r="D159" s="62" t="str">
        <f>配置表!O158</f>
        <v>夏　特別展</v>
      </c>
      <c r="E159" s="67" t="str">
        <f>配置表!P158</f>
        <v>テーマ展</v>
      </c>
      <c r="F159" s="44" t="str">
        <f>配置表!Q158</f>
        <v>○</v>
      </c>
      <c r="G159" s="45">
        <f>配置表!R158</f>
        <v>0</v>
      </c>
      <c r="H159" s="10" t="str">
        <f>配置表!S158</f>
        <v/>
      </c>
      <c r="I159" s="45">
        <f>配置表!T158</f>
        <v>0</v>
      </c>
      <c r="J159" s="10" t="str">
        <f>配置表!U158</f>
        <v>●</v>
      </c>
      <c r="K159" s="32">
        <f>配置表!V158</f>
        <v>0</v>
      </c>
      <c r="L159" s="33" t="str">
        <f>配置表!W158</f>
        <v>○</v>
      </c>
      <c r="M159" s="8">
        <f>配置表!X158</f>
        <v>0</v>
      </c>
      <c r="N159" s="33" t="str">
        <f>配置表!Y158</f>
        <v>○</v>
      </c>
      <c r="O159" s="8">
        <f>配置表!Z158</f>
        <v>5</v>
      </c>
      <c r="P159" s="33" t="str">
        <f>配置表!AA158</f>
        <v>○</v>
      </c>
      <c r="Q159" s="227">
        <f>配置表!AB158</f>
        <v>0.41666666666666669</v>
      </c>
      <c r="R159" s="227">
        <f>配置表!AC158</f>
        <v>0.70833333333333337</v>
      </c>
      <c r="S159" s="238" t="str">
        <f>配置表!AD158</f>
        <v/>
      </c>
      <c r="T159" s="63"/>
    </row>
    <row r="160" spans="1:30">
      <c r="A160" s="28" t="str">
        <f>配置表!L159</f>
        <v/>
      </c>
      <c r="B160" s="9">
        <f>配置表!M159</f>
        <v>45890</v>
      </c>
      <c r="C160" s="10" t="str">
        <f>配置表!N159</f>
        <v>木</v>
      </c>
      <c r="D160" s="62" t="str">
        <f>配置表!O159</f>
        <v>夏　特別展</v>
      </c>
      <c r="E160" s="67" t="str">
        <f>配置表!P159</f>
        <v>テーマ展</v>
      </c>
      <c r="F160" s="44" t="str">
        <f>配置表!Q159</f>
        <v>○</v>
      </c>
      <c r="G160" s="45">
        <f>配置表!R159</f>
        <v>0</v>
      </c>
      <c r="H160" s="10" t="str">
        <f>配置表!S159</f>
        <v/>
      </c>
      <c r="I160" s="45">
        <f>配置表!T159</f>
        <v>0</v>
      </c>
      <c r="J160" s="10" t="str">
        <f>配置表!U159</f>
        <v>●</v>
      </c>
      <c r="K160" s="32">
        <f>配置表!V159</f>
        <v>0</v>
      </c>
      <c r="L160" s="33" t="str">
        <f>配置表!W159</f>
        <v>○</v>
      </c>
      <c r="M160" s="8">
        <f>配置表!X159</f>
        <v>0</v>
      </c>
      <c r="N160" s="33" t="str">
        <f>配置表!Y159</f>
        <v>○</v>
      </c>
      <c r="O160" s="8">
        <f>配置表!Z159</f>
        <v>5</v>
      </c>
      <c r="P160" s="33" t="str">
        <f>配置表!AA159</f>
        <v>○</v>
      </c>
      <c r="Q160" s="227">
        <f>配置表!AB159</f>
        <v>0.41666666666666669</v>
      </c>
      <c r="R160" s="227">
        <f>配置表!AC159</f>
        <v>0.70833333333333337</v>
      </c>
      <c r="S160" s="238" t="str">
        <f>配置表!AD159</f>
        <v/>
      </c>
      <c r="T160" s="63"/>
    </row>
    <row r="161" spans="1:29">
      <c r="A161" s="28" t="str">
        <f>配置表!L160</f>
        <v/>
      </c>
      <c r="B161" s="9">
        <f>配置表!M160</f>
        <v>45891</v>
      </c>
      <c r="C161" s="10" t="str">
        <f>配置表!N160</f>
        <v>金</v>
      </c>
      <c r="D161" s="62" t="str">
        <f>配置表!O160</f>
        <v>夏　特別展</v>
      </c>
      <c r="E161" s="67" t="str">
        <f>配置表!P160</f>
        <v>テーマ展</v>
      </c>
      <c r="F161" s="44" t="str">
        <f>配置表!Q160</f>
        <v>○</v>
      </c>
      <c r="G161" s="45">
        <f>配置表!R160</f>
        <v>0</v>
      </c>
      <c r="H161" s="33" t="str">
        <f>配置表!S160</f>
        <v/>
      </c>
      <c r="I161" s="45">
        <f>配置表!T160</f>
        <v>0</v>
      </c>
      <c r="J161" s="10" t="str">
        <f>配置表!U160</f>
        <v>●</v>
      </c>
      <c r="K161" s="32">
        <f>配置表!V160</f>
        <v>0</v>
      </c>
      <c r="L161" s="33" t="str">
        <f>配置表!W160</f>
        <v>○</v>
      </c>
      <c r="M161" s="8">
        <f>配置表!X160</f>
        <v>0</v>
      </c>
      <c r="N161" s="33" t="str">
        <f>配置表!Y160</f>
        <v>○</v>
      </c>
      <c r="O161" s="8">
        <f>配置表!Z160</f>
        <v>5</v>
      </c>
      <c r="P161" s="33" t="str">
        <f>配置表!AA160</f>
        <v>○</v>
      </c>
      <c r="Q161" s="227">
        <f>配置表!AB160</f>
        <v>0.41666666666666669</v>
      </c>
      <c r="R161" s="227">
        <f>配置表!AC160</f>
        <v>0.70833333333333337</v>
      </c>
      <c r="S161" s="238" t="str">
        <f>配置表!AD160</f>
        <v/>
      </c>
      <c r="T161" s="63"/>
    </row>
    <row r="162" spans="1:29">
      <c r="A162" s="28" t="str">
        <f>配置表!L161</f>
        <v/>
      </c>
      <c r="B162" s="9">
        <f>配置表!M161</f>
        <v>45892</v>
      </c>
      <c r="C162" s="10" t="str">
        <f>配置表!N161</f>
        <v>土</v>
      </c>
      <c r="D162" s="62" t="str">
        <f>配置表!O161</f>
        <v>夏　特別展</v>
      </c>
      <c r="E162" s="67" t="str">
        <f>配置表!P161</f>
        <v>テーマ展</v>
      </c>
      <c r="F162" s="44" t="str">
        <f>配置表!Q161</f>
        <v>○</v>
      </c>
      <c r="G162" s="45">
        <f>配置表!R161</f>
        <v>0</v>
      </c>
      <c r="H162" s="33" t="str">
        <f>配置表!S161</f>
        <v>○</v>
      </c>
      <c r="I162" s="45">
        <f>配置表!T161</f>
        <v>0</v>
      </c>
      <c r="J162" s="10" t="str">
        <f>配置表!U161</f>
        <v>●</v>
      </c>
      <c r="K162" s="32">
        <f>配置表!V161</f>
        <v>0</v>
      </c>
      <c r="L162" s="33" t="str">
        <f>配置表!W161</f>
        <v>◎</v>
      </c>
      <c r="M162" s="8">
        <f>配置表!X161</f>
        <v>0</v>
      </c>
      <c r="N162" s="33" t="str">
        <f>配置表!Y161</f>
        <v>○</v>
      </c>
      <c r="O162" s="8">
        <f>配置表!Z161</f>
        <v>5</v>
      </c>
      <c r="P162" s="33" t="str">
        <f>配置表!AA161</f>
        <v>○</v>
      </c>
      <c r="Q162" s="227">
        <f>配置表!AB161</f>
        <v>0.41666666666666669</v>
      </c>
      <c r="R162" s="227">
        <f>配置表!AC161</f>
        <v>0.70833333333333337</v>
      </c>
      <c r="S162" s="238" t="str">
        <f>配置表!AD161</f>
        <v/>
      </c>
      <c r="T162" s="63"/>
      <c r="U162" s="214"/>
    </row>
    <row r="163" spans="1:29">
      <c r="A163" s="28" t="str">
        <f>配置表!L162</f>
        <v/>
      </c>
      <c r="B163" s="9">
        <f>配置表!M162</f>
        <v>45893</v>
      </c>
      <c r="C163" s="10" t="str">
        <f>配置表!N162</f>
        <v>日</v>
      </c>
      <c r="D163" s="62" t="str">
        <f>配置表!O162</f>
        <v>夏　特別展</v>
      </c>
      <c r="E163" s="67" t="str">
        <f>配置表!P162</f>
        <v>テーマ展</v>
      </c>
      <c r="F163" s="44" t="str">
        <f>配置表!Q162</f>
        <v>○</v>
      </c>
      <c r="G163" s="45">
        <f>配置表!R162</f>
        <v>0</v>
      </c>
      <c r="H163" s="33" t="str">
        <f>配置表!S162</f>
        <v>○</v>
      </c>
      <c r="I163" s="45">
        <f>配置表!T162</f>
        <v>0</v>
      </c>
      <c r="J163" s="10" t="str">
        <f>配置表!U162</f>
        <v>●</v>
      </c>
      <c r="K163" s="32">
        <f>配置表!V162</f>
        <v>0</v>
      </c>
      <c r="L163" s="33" t="str">
        <f>配置表!W162</f>
        <v>◎</v>
      </c>
      <c r="M163" s="8">
        <f>配置表!X162</f>
        <v>0</v>
      </c>
      <c r="N163" s="10" t="str">
        <f>配置表!Y162</f>
        <v>○</v>
      </c>
      <c r="O163" s="32">
        <f>配置表!Z162</f>
        <v>5</v>
      </c>
      <c r="P163" s="33" t="str">
        <f>配置表!AA162</f>
        <v>○</v>
      </c>
      <c r="Q163" s="227">
        <f>配置表!AB162</f>
        <v>0.41666666666666669</v>
      </c>
      <c r="R163" s="227">
        <f>配置表!AC162</f>
        <v>0.70833333333333337</v>
      </c>
      <c r="S163" s="238" t="str">
        <f>配置表!AD162</f>
        <v/>
      </c>
      <c r="T163" s="63"/>
      <c r="U163" s="4"/>
      <c r="V163" s="162"/>
      <c r="W163" s="162"/>
      <c r="X163" s="4"/>
      <c r="Y163" s="4"/>
      <c r="Z163" s="4"/>
      <c r="AA163" s="4"/>
      <c r="AB163" s="4"/>
      <c r="AC163" s="4"/>
    </row>
    <row r="164" spans="1:29" ht="13.5">
      <c r="A164" s="28" t="str">
        <f>配置表!L163</f>
        <v>閉</v>
      </c>
      <c r="B164" s="9">
        <f>配置表!M163</f>
        <v>45894</v>
      </c>
      <c r="C164" s="10" t="str">
        <f>配置表!N163</f>
        <v>月</v>
      </c>
      <c r="D164" s="62" t="str">
        <f>配置表!O163</f>
        <v/>
      </c>
      <c r="E164" s="67" t="str">
        <f>配置表!P163</f>
        <v>テーマ展</v>
      </c>
      <c r="F164" s="44" t="str">
        <f>配置表!Q163</f>
        <v>休</v>
      </c>
      <c r="G164" s="8">
        <f>配置表!R163</f>
        <v>0</v>
      </c>
      <c r="H164" s="33" t="str">
        <f>配置表!S163</f>
        <v>休</v>
      </c>
      <c r="I164" s="32">
        <f>配置表!T163</f>
        <v>0</v>
      </c>
      <c r="J164" s="33" t="str">
        <f>配置表!U163</f>
        <v>休</v>
      </c>
      <c r="K164" s="8">
        <f>配置表!V163</f>
        <v>0</v>
      </c>
      <c r="L164" s="33" t="str">
        <f>配置表!W163</f>
        <v>休</v>
      </c>
      <c r="M164" s="8">
        <f>配置表!X163</f>
        <v>0</v>
      </c>
      <c r="N164" s="33" t="str">
        <f>配置表!Y163</f>
        <v>休</v>
      </c>
      <c r="O164" s="8" t="str">
        <f>配置表!Z163</f>
        <v/>
      </c>
      <c r="P164" s="33" t="str">
        <f>配置表!AA163</f>
        <v>休</v>
      </c>
      <c r="Q164" s="227" t="str">
        <f>配置表!AB163</f>
        <v/>
      </c>
      <c r="R164" s="227" t="str">
        <f>配置表!AC163</f>
        <v/>
      </c>
      <c r="S164" s="238" t="str">
        <f>配置表!AD163</f>
        <v/>
      </c>
      <c r="T164" s="63"/>
      <c r="U164" s="318"/>
      <c r="V164" s="318"/>
      <c r="W164" s="318"/>
      <c r="X164" s="318"/>
      <c r="Y164" s="318"/>
      <c r="Z164" s="318"/>
      <c r="AA164" s="318"/>
      <c r="AB164" s="318"/>
      <c r="AC164" s="318"/>
    </row>
    <row r="165" spans="1:29" ht="13.5">
      <c r="A165" s="28" t="str">
        <f>配置表!L164</f>
        <v/>
      </c>
      <c r="B165" s="9">
        <f>配置表!M164</f>
        <v>45895</v>
      </c>
      <c r="C165" s="10" t="str">
        <f>配置表!N164</f>
        <v>火</v>
      </c>
      <c r="D165" s="62" t="str">
        <f>配置表!O164</f>
        <v/>
      </c>
      <c r="E165" s="67" t="str">
        <f>配置表!P164</f>
        <v>テーマ展</v>
      </c>
      <c r="F165" s="44" t="str">
        <f>配置表!Q164</f>
        <v>○</v>
      </c>
      <c r="G165" s="45">
        <f>配置表!R164</f>
        <v>0</v>
      </c>
      <c r="H165" s="10" t="str">
        <f>配置表!S164</f>
        <v/>
      </c>
      <c r="I165" s="45">
        <f>配置表!T164</f>
        <v>0</v>
      </c>
      <c r="J165" s="10" t="str">
        <f>配置表!U164</f>
        <v>●</v>
      </c>
      <c r="K165" s="32">
        <f>配置表!V164</f>
        <v>0</v>
      </c>
      <c r="L165" s="33" t="str">
        <f>配置表!W164</f>
        <v/>
      </c>
      <c r="M165" s="8">
        <f>配置表!X164</f>
        <v>0</v>
      </c>
      <c r="N165" s="33" t="str">
        <f>配置表!Y164</f>
        <v>○</v>
      </c>
      <c r="O165" s="8">
        <f>配置表!Z164</f>
        <v>1</v>
      </c>
      <c r="P165" s="33" t="str">
        <f>配置表!AA164</f>
        <v>△</v>
      </c>
      <c r="Q165" s="227">
        <f>配置表!AB164</f>
        <v>0.41666666666666669</v>
      </c>
      <c r="R165" s="227">
        <f>配置表!AC164</f>
        <v>0.70833333333333337</v>
      </c>
      <c r="S165" s="238" t="str">
        <f>配置表!AD164</f>
        <v/>
      </c>
      <c r="T165" s="63"/>
      <c r="U165" s="39"/>
      <c r="V165" s="319"/>
      <c r="W165" s="319"/>
      <c r="X165" s="326"/>
      <c r="Y165" s="321"/>
      <c r="Z165" s="26"/>
      <c r="AA165" s="327"/>
      <c r="AB165" s="323"/>
      <c r="AC165" s="323"/>
    </row>
    <row r="166" spans="1:29" ht="13.5">
      <c r="A166" s="28" t="str">
        <f>配置表!L165</f>
        <v/>
      </c>
      <c r="B166" s="9">
        <f>配置表!M165</f>
        <v>45896</v>
      </c>
      <c r="C166" s="10" t="str">
        <f>配置表!N165</f>
        <v>水</v>
      </c>
      <c r="D166" s="62" t="str">
        <f>配置表!O165</f>
        <v/>
      </c>
      <c r="E166" s="67" t="str">
        <f>配置表!P165</f>
        <v>テーマ展</v>
      </c>
      <c r="F166" s="44" t="str">
        <f>配置表!Q165</f>
        <v>○</v>
      </c>
      <c r="G166" s="45">
        <f>配置表!R165</f>
        <v>0</v>
      </c>
      <c r="H166" s="10" t="str">
        <f>配置表!S165</f>
        <v/>
      </c>
      <c r="I166" s="45">
        <f>配置表!T165</f>
        <v>0</v>
      </c>
      <c r="J166" s="10" t="str">
        <f>配置表!U165</f>
        <v>●</v>
      </c>
      <c r="K166" s="32">
        <f>配置表!V165</f>
        <v>0</v>
      </c>
      <c r="L166" s="33" t="str">
        <f>配置表!W165</f>
        <v/>
      </c>
      <c r="M166" s="8">
        <f>配置表!X165</f>
        <v>0</v>
      </c>
      <c r="N166" s="33" t="str">
        <f>配置表!Y165</f>
        <v>○</v>
      </c>
      <c r="O166" s="8">
        <f>配置表!Z165</f>
        <v>1</v>
      </c>
      <c r="P166" s="33" t="str">
        <f>配置表!AA165</f>
        <v>△</v>
      </c>
      <c r="Q166" s="227">
        <f>配置表!AB165</f>
        <v>0.41666666666666669</v>
      </c>
      <c r="R166" s="227">
        <f>配置表!AC165</f>
        <v>0.70833333333333337</v>
      </c>
      <c r="S166" s="238" t="str">
        <f>配置表!AD165</f>
        <v/>
      </c>
      <c r="T166" s="63"/>
      <c r="U166" s="39"/>
      <c r="V166" s="319"/>
      <c r="W166" s="319"/>
      <c r="X166" s="326"/>
      <c r="Y166" s="321"/>
      <c r="Z166" s="26"/>
      <c r="AA166" s="327"/>
      <c r="AB166" s="323"/>
      <c r="AC166" s="323"/>
    </row>
    <row r="167" spans="1:29" ht="13.5">
      <c r="A167" s="28" t="str">
        <f>配置表!L166</f>
        <v/>
      </c>
      <c r="B167" s="9">
        <f>配置表!M166</f>
        <v>45897</v>
      </c>
      <c r="C167" s="10" t="str">
        <f>配置表!N166</f>
        <v>木</v>
      </c>
      <c r="D167" s="62" t="str">
        <f>配置表!O166</f>
        <v/>
      </c>
      <c r="E167" s="67" t="str">
        <f>配置表!P166</f>
        <v>テーマ展</v>
      </c>
      <c r="F167" s="44" t="str">
        <f>配置表!Q166</f>
        <v>○</v>
      </c>
      <c r="G167" s="45">
        <f>配置表!R166</f>
        <v>0</v>
      </c>
      <c r="H167" s="10" t="str">
        <f>配置表!S166</f>
        <v/>
      </c>
      <c r="I167" s="45">
        <f>配置表!T166</f>
        <v>0</v>
      </c>
      <c r="J167" s="10" t="str">
        <f>配置表!U166</f>
        <v>●</v>
      </c>
      <c r="K167" s="32">
        <f>配置表!V166</f>
        <v>0</v>
      </c>
      <c r="L167" s="33" t="str">
        <f>配置表!W166</f>
        <v/>
      </c>
      <c r="M167" s="8">
        <f>配置表!X166</f>
        <v>0</v>
      </c>
      <c r="N167" s="33" t="str">
        <f>配置表!Y166</f>
        <v>○</v>
      </c>
      <c r="O167" s="8">
        <f>配置表!Z166</f>
        <v>1</v>
      </c>
      <c r="P167" s="33" t="str">
        <f>配置表!AA166</f>
        <v>△</v>
      </c>
      <c r="Q167" s="227">
        <f>配置表!AB166</f>
        <v>0.41666666666666669</v>
      </c>
      <c r="R167" s="227">
        <f>配置表!AC166</f>
        <v>0.70833333333333337</v>
      </c>
      <c r="S167" s="238" t="str">
        <f>配置表!AD166</f>
        <v/>
      </c>
      <c r="T167" s="63"/>
      <c r="U167" s="328"/>
      <c r="V167" s="328"/>
      <c r="W167" s="328"/>
      <c r="X167" s="329"/>
      <c r="Y167" s="330"/>
      <c r="Z167" s="331"/>
      <c r="AA167" s="332"/>
      <c r="AB167" s="333"/>
      <c r="AC167" s="323"/>
    </row>
    <row r="168" spans="1:29" ht="13.5">
      <c r="A168" s="28" t="str">
        <f>配置表!L167</f>
        <v/>
      </c>
      <c r="B168" s="9">
        <f>配置表!M167</f>
        <v>45898</v>
      </c>
      <c r="C168" s="10" t="str">
        <f>配置表!N167</f>
        <v>金</v>
      </c>
      <c r="D168" s="62" t="str">
        <f>配置表!O167</f>
        <v/>
      </c>
      <c r="E168" s="67" t="str">
        <f>配置表!P167</f>
        <v>テーマ展</v>
      </c>
      <c r="F168" s="44" t="str">
        <f>配置表!Q167</f>
        <v>○</v>
      </c>
      <c r="G168" s="45">
        <f>配置表!R167</f>
        <v>0</v>
      </c>
      <c r="H168" s="10" t="str">
        <f>配置表!S167</f>
        <v/>
      </c>
      <c r="I168" s="45">
        <f>配置表!T167</f>
        <v>0</v>
      </c>
      <c r="J168" s="10" t="str">
        <f>配置表!U167</f>
        <v>●</v>
      </c>
      <c r="K168" s="32">
        <f>配置表!V167</f>
        <v>0</v>
      </c>
      <c r="L168" s="33" t="str">
        <f>配置表!W167</f>
        <v/>
      </c>
      <c r="M168" s="8">
        <f>配置表!X167</f>
        <v>0</v>
      </c>
      <c r="N168" s="33" t="str">
        <f>配置表!Y167</f>
        <v>○</v>
      </c>
      <c r="O168" s="8">
        <f>配置表!Z167</f>
        <v>1</v>
      </c>
      <c r="P168" s="33" t="str">
        <f>配置表!AA167</f>
        <v>△</v>
      </c>
      <c r="Q168" s="227">
        <f>配置表!AB167</f>
        <v>0.41666666666666669</v>
      </c>
      <c r="R168" s="227">
        <f>配置表!AC167</f>
        <v>0.70833333333333337</v>
      </c>
      <c r="S168" s="238" t="str">
        <f>配置表!AD167</f>
        <v/>
      </c>
      <c r="T168" s="63"/>
      <c r="U168" s="4"/>
      <c r="V168" s="162"/>
      <c r="W168" s="162"/>
      <c r="X168" s="4"/>
      <c r="Y168" s="4"/>
      <c r="Z168" s="4"/>
      <c r="AA168" s="4"/>
      <c r="AB168" s="324"/>
      <c r="AC168" s="325"/>
    </row>
    <row r="169" spans="1:29">
      <c r="A169" s="28" t="str">
        <f>配置表!L168</f>
        <v/>
      </c>
      <c r="B169" s="9">
        <f>配置表!M168</f>
        <v>45899</v>
      </c>
      <c r="C169" s="10" t="str">
        <f>配置表!N168</f>
        <v>土</v>
      </c>
      <c r="D169" s="62" t="str">
        <f>配置表!O168</f>
        <v/>
      </c>
      <c r="E169" s="67" t="str">
        <f>配置表!P168</f>
        <v>テーマ展</v>
      </c>
      <c r="F169" s="44" t="str">
        <f>配置表!Q168</f>
        <v>○</v>
      </c>
      <c r="G169" s="45">
        <f>配置表!R168</f>
        <v>0</v>
      </c>
      <c r="H169" s="10" t="str">
        <f>配置表!S168</f>
        <v/>
      </c>
      <c r="I169" s="45">
        <f>配置表!T168</f>
        <v>0</v>
      </c>
      <c r="J169" s="10" t="str">
        <f>配置表!U168</f>
        <v>●</v>
      </c>
      <c r="K169" s="32">
        <f>配置表!V168</f>
        <v>0</v>
      </c>
      <c r="L169" s="33" t="str">
        <f>配置表!W168</f>
        <v/>
      </c>
      <c r="M169" s="8">
        <f>配置表!X168</f>
        <v>0</v>
      </c>
      <c r="N169" s="33" t="str">
        <f>配置表!Y168</f>
        <v>○</v>
      </c>
      <c r="O169" s="8">
        <f>配置表!Z168</f>
        <v>1</v>
      </c>
      <c r="P169" s="33" t="str">
        <f>配置表!AA168</f>
        <v>△</v>
      </c>
      <c r="Q169" s="227">
        <f>配置表!AB168</f>
        <v>0.41666666666666669</v>
      </c>
      <c r="R169" s="227">
        <f>配置表!AC168</f>
        <v>0.70833333333333337</v>
      </c>
      <c r="S169" s="238" t="str">
        <f>配置表!AD168</f>
        <v/>
      </c>
      <c r="T169" s="63"/>
      <c r="U169" s="4"/>
      <c r="V169" s="162"/>
      <c r="W169" s="162"/>
      <c r="X169" s="4"/>
      <c r="Y169" s="4"/>
      <c r="Z169" s="4"/>
      <c r="AA169" s="4"/>
      <c r="AB169" s="4"/>
      <c r="AC169" s="4"/>
    </row>
    <row r="170" spans="1:29" ht="12" thickBot="1">
      <c r="A170" s="28" t="str">
        <f>配置表!L169</f>
        <v/>
      </c>
      <c r="B170" s="29">
        <f>配置表!M169</f>
        <v>45900</v>
      </c>
      <c r="C170" s="22" t="str">
        <f>配置表!N169</f>
        <v>日</v>
      </c>
      <c r="D170" s="64" t="str">
        <f>配置表!O169</f>
        <v/>
      </c>
      <c r="E170" s="68" t="str">
        <f>配置表!P169</f>
        <v>テーマ展</v>
      </c>
      <c r="F170" s="40" t="str">
        <f>配置表!Q169</f>
        <v>○</v>
      </c>
      <c r="G170" s="41">
        <f>配置表!R169</f>
        <v>0</v>
      </c>
      <c r="H170" s="22" t="str">
        <f>配置表!S169</f>
        <v/>
      </c>
      <c r="I170" s="41">
        <f>配置表!T169</f>
        <v>0</v>
      </c>
      <c r="J170" s="22" t="str">
        <f>配置表!U169</f>
        <v>●</v>
      </c>
      <c r="K170" s="23">
        <f>配置表!V169</f>
        <v>0</v>
      </c>
      <c r="L170" s="34" t="str">
        <f>配置表!W169</f>
        <v/>
      </c>
      <c r="M170" s="27">
        <f>配置表!X169</f>
        <v>0</v>
      </c>
      <c r="N170" s="34" t="str">
        <f>配置表!Y169</f>
        <v>○</v>
      </c>
      <c r="O170" s="27">
        <f>配置表!Z169</f>
        <v>1</v>
      </c>
      <c r="P170" s="34" t="str">
        <f>配置表!AA169</f>
        <v>△</v>
      </c>
      <c r="Q170" s="233">
        <f>配置表!AB169</f>
        <v>0.41666666666666669</v>
      </c>
      <c r="R170" s="233">
        <f>配置表!AC169</f>
        <v>0.70833333333333337</v>
      </c>
      <c r="S170" s="239" t="str">
        <f>配置表!AD169</f>
        <v/>
      </c>
      <c r="T170" s="63"/>
      <c r="U170" s="4"/>
      <c r="V170" s="162"/>
      <c r="W170" s="162"/>
      <c r="X170" s="4"/>
      <c r="Y170" s="4"/>
      <c r="Z170" s="4"/>
      <c r="AA170" s="4"/>
      <c r="AB170" s="4"/>
      <c r="AC170" s="4"/>
    </row>
    <row r="171" spans="1:29" ht="14.25" thickBot="1">
      <c r="A171" s="28"/>
      <c r="B171" s="57"/>
      <c r="C171" s="50"/>
      <c r="D171" s="50"/>
      <c r="E171" s="50"/>
      <c r="F171" s="24">
        <f>COUNTIF(F140:F170,"○")</f>
        <v>27</v>
      </c>
      <c r="G171" s="50"/>
      <c r="H171" s="50"/>
      <c r="I171" s="37"/>
      <c r="J171" s="37"/>
      <c r="K171" s="50"/>
      <c r="L171" s="50"/>
      <c r="M171" s="50"/>
      <c r="N171" s="50"/>
      <c r="O171" s="50"/>
      <c r="P171" s="50"/>
      <c r="Q171" s="110" t="str">
        <f>IF(ISERROR(VLOOKUP(B171,データ!$A$3:$C$19,2,FALSE)),"",VLOOKUP(B171,データ!$A$3:$C$19,2,FALSE))</f>
        <v/>
      </c>
      <c r="R171" s="110"/>
      <c r="S171" s="110"/>
      <c r="T171" s="110"/>
    </row>
    <row r="172" spans="1:29" customFormat="1" ht="27.75" customHeight="1" thickBot="1">
      <c r="A172" s="28"/>
      <c r="B172" s="58"/>
      <c r="C172" s="59"/>
      <c r="D172" s="42" t="s">
        <v>5</v>
      </c>
      <c r="E172" s="60" t="s">
        <v>6</v>
      </c>
      <c r="F172" s="49" t="s">
        <v>8</v>
      </c>
      <c r="G172" s="354" t="s">
        <v>13</v>
      </c>
      <c r="H172" s="355"/>
      <c r="I172" s="354" t="s">
        <v>14</v>
      </c>
      <c r="J172" s="355"/>
      <c r="K172" s="354" t="s">
        <v>9</v>
      </c>
      <c r="L172" s="355"/>
      <c r="M172" s="354" t="s">
        <v>10</v>
      </c>
      <c r="N172" s="355"/>
      <c r="O172" s="354" t="s">
        <v>1</v>
      </c>
      <c r="P172" s="355"/>
      <c r="Q172" s="38" t="s">
        <v>114</v>
      </c>
      <c r="R172" s="38" t="s">
        <v>35</v>
      </c>
      <c r="S172" s="38" t="s">
        <v>116</v>
      </c>
      <c r="T172" s="63"/>
      <c r="U172" s="149" t="s">
        <v>79</v>
      </c>
      <c r="V172" s="156"/>
      <c r="W172" s="156" t="s">
        <v>74</v>
      </c>
      <c r="X172" s="175" t="s">
        <v>60</v>
      </c>
      <c r="Y172" s="175" t="s">
        <v>70</v>
      </c>
      <c r="Z172" s="150" t="s">
        <v>71</v>
      </c>
      <c r="AA172" s="150" t="s">
        <v>61</v>
      </c>
      <c r="AB172" s="150" t="s">
        <v>62</v>
      </c>
      <c r="AC172" s="151" t="s">
        <v>63</v>
      </c>
    </row>
    <row r="173" spans="1:29" ht="13.5">
      <c r="A173" s="28" t="str">
        <f>配置表!L172</f>
        <v>閉</v>
      </c>
      <c r="B173" s="9">
        <f>配置表!M172</f>
        <v>45901</v>
      </c>
      <c r="C173" s="10" t="str">
        <f>配置表!N172</f>
        <v>月</v>
      </c>
      <c r="D173" s="62" t="str">
        <f>配置表!O172</f>
        <v/>
      </c>
      <c r="E173" s="67" t="str">
        <f>配置表!P172</f>
        <v>テーマ展</v>
      </c>
      <c r="F173" s="44" t="str">
        <f>配置表!Q172</f>
        <v>休</v>
      </c>
      <c r="G173" s="35">
        <f>配置表!R172</f>
        <v>0</v>
      </c>
      <c r="H173" s="47" t="str">
        <f>配置表!S172</f>
        <v>休</v>
      </c>
      <c r="I173" s="35">
        <f>配置表!T172</f>
        <v>0</v>
      </c>
      <c r="J173" s="47" t="str">
        <f>配置表!U172</f>
        <v>休</v>
      </c>
      <c r="K173" s="35">
        <f>配置表!V172</f>
        <v>0</v>
      </c>
      <c r="L173" s="47" t="str">
        <f>配置表!W172</f>
        <v>休</v>
      </c>
      <c r="M173" s="35">
        <f>配置表!X172</f>
        <v>0</v>
      </c>
      <c r="N173" s="47" t="str">
        <f>配置表!Y172</f>
        <v>休</v>
      </c>
      <c r="O173" s="35" t="str">
        <f>配置表!Z172</f>
        <v/>
      </c>
      <c r="P173" s="47" t="str">
        <f>配置表!AA172</f>
        <v>休</v>
      </c>
      <c r="Q173" s="232" t="str">
        <f>配置表!AB172</f>
        <v/>
      </c>
      <c r="R173" s="232" t="str">
        <f>配置表!AC172</f>
        <v/>
      </c>
      <c r="S173" s="237" t="str">
        <f>配置表!AD172</f>
        <v/>
      </c>
      <c r="T173" s="63"/>
      <c r="U173" s="173" t="s">
        <v>88</v>
      </c>
      <c r="V173" s="156"/>
      <c r="W173" s="156"/>
      <c r="X173" s="176"/>
      <c r="Y173" s="177"/>
      <c r="Z173" s="181">
        <f>COUNTIF(F173:F203,V173)</f>
        <v>0</v>
      </c>
      <c r="AA173" s="174">
        <f>X173*Y173*Z173</f>
        <v>0</v>
      </c>
      <c r="AB173" s="181"/>
      <c r="AC173" s="315">
        <f>SUM(AA173*AB173)</f>
        <v>0</v>
      </c>
    </row>
    <row r="174" spans="1:29" ht="13.5">
      <c r="A174" s="28" t="str">
        <f>配置表!L173</f>
        <v/>
      </c>
      <c r="B174" s="9">
        <f>配置表!M173</f>
        <v>45902</v>
      </c>
      <c r="C174" s="10" t="str">
        <f>配置表!N173</f>
        <v>火</v>
      </c>
      <c r="D174" s="62" t="str">
        <f>配置表!O173</f>
        <v/>
      </c>
      <c r="E174" s="67" t="str">
        <f>配置表!P173</f>
        <v>テーマ展</v>
      </c>
      <c r="F174" s="44" t="str">
        <f>配置表!Q173</f>
        <v>○</v>
      </c>
      <c r="G174" s="45">
        <f>配置表!R173</f>
        <v>0</v>
      </c>
      <c r="H174" s="10" t="str">
        <f>配置表!S173</f>
        <v/>
      </c>
      <c r="I174" s="45">
        <f>配置表!T173</f>
        <v>0</v>
      </c>
      <c r="J174" s="10" t="str">
        <f>配置表!U173</f>
        <v>●</v>
      </c>
      <c r="K174" s="32">
        <f>配置表!V173</f>
        <v>0</v>
      </c>
      <c r="L174" s="10" t="str">
        <f>配置表!W173</f>
        <v/>
      </c>
      <c r="M174" s="32">
        <f>配置表!X173</f>
        <v>0</v>
      </c>
      <c r="N174" s="33" t="str">
        <f>配置表!Y173</f>
        <v>○</v>
      </c>
      <c r="O174" s="32">
        <f>配置表!Z173</f>
        <v>1</v>
      </c>
      <c r="P174" s="33" t="str">
        <f>配置表!AA173</f>
        <v>△</v>
      </c>
      <c r="Q174" s="227">
        <f>配置表!AB173</f>
        <v>0.41666666666666669</v>
      </c>
      <c r="R174" s="227">
        <f>配置表!AC173</f>
        <v>0.70833333333333337</v>
      </c>
      <c r="S174" s="238" t="str">
        <f>配置表!AD173</f>
        <v/>
      </c>
      <c r="T174" s="63"/>
      <c r="U174" s="152" t="s">
        <v>88</v>
      </c>
      <c r="V174" s="155" t="s">
        <v>66</v>
      </c>
      <c r="W174" s="274" t="s">
        <v>126</v>
      </c>
      <c r="X174" s="275">
        <v>8.5</v>
      </c>
      <c r="Y174" s="158">
        <v>1</v>
      </c>
      <c r="Z174" s="182">
        <f>COUNTIF(F173:F203,V174)</f>
        <v>25</v>
      </c>
      <c r="AA174" s="154">
        <f t="shared" ref="AA174:AA189" si="10">X174*Y174*Z174</f>
        <v>212.5</v>
      </c>
      <c r="AB174" s="182">
        <f>AB$9</f>
        <v>0</v>
      </c>
      <c r="AC174" s="183">
        <f t="shared" ref="AC174:AC189" si="11">SUM(AA174*AB174)</f>
        <v>0</v>
      </c>
    </row>
    <row r="175" spans="1:29" ht="13.5">
      <c r="A175" s="28" t="str">
        <f>配置表!L174</f>
        <v/>
      </c>
      <c r="B175" s="9">
        <f>配置表!M174</f>
        <v>45903</v>
      </c>
      <c r="C175" s="10" t="str">
        <f>配置表!N174</f>
        <v>水</v>
      </c>
      <c r="D175" s="62" t="str">
        <f>配置表!O174</f>
        <v/>
      </c>
      <c r="E175" s="67" t="str">
        <f>配置表!P174</f>
        <v>テーマ展</v>
      </c>
      <c r="F175" s="44" t="str">
        <f>配置表!Q174</f>
        <v>○</v>
      </c>
      <c r="G175" s="45">
        <f>配置表!R174</f>
        <v>0</v>
      </c>
      <c r="H175" s="10" t="str">
        <f>配置表!S174</f>
        <v/>
      </c>
      <c r="I175" s="45">
        <f>配置表!T174</f>
        <v>0</v>
      </c>
      <c r="J175" s="10" t="str">
        <f>配置表!U174</f>
        <v>●</v>
      </c>
      <c r="K175" s="32">
        <f>配置表!V174</f>
        <v>0</v>
      </c>
      <c r="L175" s="10" t="str">
        <f>配置表!W174</f>
        <v/>
      </c>
      <c r="M175" s="32">
        <f>配置表!X174</f>
        <v>0</v>
      </c>
      <c r="N175" s="33" t="str">
        <f>配置表!Y174</f>
        <v>○</v>
      </c>
      <c r="O175" s="32">
        <f>配置表!Z174</f>
        <v>1</v>
      </c>
      <c r="P175" s="33" t="str">
        <f>配置表!AA174</f>
        <v>△</v>
      </c>
      <c r="Q175" s="227">
        <f>配置表!AB174</f>
        <v>0.41666666666666669</v>
      </c>
      <c r="R175" s="227">
        <f>配置表!AC174</f>
        <v>0.70833333333333337</v>
      </c>
      <c r="S175" s="238" t="str">
        <f>配置表!AD174</f>
        <v/>
      </c>
      <c r="T175" s="63"/>
      <c r="U175" s="152" t="s">
        <v>89</v>
      </c>
      <c r="V175" s="155" t="s">
        <v>66</v>
      </c>
      <c r="W175" s="155" t="s">
        <v>141</v>
      </c>
      <c r="X175" s="191">
        <v>5.25</v>
      </c>
      <c r="Y175" s="158">
        <v>1</v>
      </c>
      <c r="Z175" s="182">
        <f>COUNTIF(H173:H203,V175)</f>
        <v>10</v>
      </c>
      <c r="AA175" s="154">
        <f t="shared" si="10"/>
        <v>52.5</v>
      </c>
      <c r="AB175" s="182">
        <f>AB$10</f>
        <v>0</v>
      </c>
      <c r="AC175" s="183">
        <f t="shared" si="11"/>
        <v>0</v>
      </c>
    </row>
    <row r="176" spans="1:29" ht="13.5">
      <c r="A176" s="28" t="str">
        <f>配置表!L175</f>
        <v/>
      </c>
      <c r="B176" s="9">
        <f>配置表!M175</f>
        <v>45904</v>
      </c>
      <c r="C176" s="10" t="str">
        <f>配置表!N175</f>
        <v>木</v>
      </c>
      <c r="D176" s="62" t="str">
        <f>配置表!O175</f>
        <v/>
      </c>
      <c r="E176" s="67" t="str">
        <f>配置表!P175</f>
        <v>テーマ展</v>
      </c>
      <c r="F176" s="44" t="str">
        <f>配置表!Q175</f>
        <v>○</v>
      </c>
      <c r="G176" s="45">
        <f>配置表!R175</f>
        <v>0</v>
      </c>
      <c r="H176" s="10" t="str">
        <f>配置表!S175</f>
        <v/>
      </c>
      <c r="I176" s="45">
        <f>配置表!T175</f>
        <v>0</v>
      </c>
      <c r="J176" s="10" t="str">
        <f>配置表!U175</f>
        <v>●</v>
      </c>
      <c r="K176" s="32">
        <f>配置表!V175</f>
        <v>0</v>
      </c>
      <c r="L176" s="10" t="str">
        <f>配置表!W175</f>
        <v/>
      </c>
      <c r="M176" s="32">
        <f>配置表!X175</f>
        <v>0</v>
      </c>
      <c r="N176" s="33" t="str">
        <f>配置表!Y175</f>
        <v>○</v>
      </c>
      <c r="O176" s="32">
        <f>配置表!Z175</f>
        <v>1</v>
      </c>
      <c r="P176" s="33" t="str">
        <f>配置表!AA175</f>
        <v>△</v>
      </c>
      <c r="Q176" s="227">
        <f>配置表!AB175</f>
        <v>0.41666666666666669</v>
      </c>
      <c r="R176" s="227">
        <f>配置表!AC175</f>
        <v>0.70833333333333337</v>
      </c>
      <c r="S176" s="238" t="str">
        <f>配置表!AD175</f>
        <v/>
      </c>
      <c r="T176" s="63"/>
      <c r="U176" s="152"/>
      <c r="V176" s="155"/>
      <c r="W176" s="155"/>
      <c r="X176" s="153"/>
      <c r="Y176" s="158"/>
      <c r="Z176" s="182">
        <f>COUNTIF(H173:H203,V176)</f>
        <v>0</v>
      </c>
      <c r="AA176" s="154">
        <f t="shared" si="10"/>
        <v>0</v>
      </c>
      <c r="AB176" s="182"/>
      <c r="AC176" s="183">
        <f t="shared" si="11"/>
        <v>0</v>
      </c>
    </row>
    <row r="177" spans="1:30" ht="13.5">
      <c r="A177" s="28" t="str">
        <f>配置表!L176</f>
        <v/>
      </c>
      <c r="B177" s="9">
        <f>配置表!M176</f>
        <v>45905</v>
      </c>
      <c r="C177" s="10" t="str">
        <f>配置表!N176</f>
        <v>金</v>
      </c>
      <c r="D177" s="62" t="str">
        <f>配置表!O176</f>
        <v/>
      </c>
      <c r="E177" s="67" t="str">
        <f>配置表!P176</f>
        <v>テーマ展</v>
      </c>
      <c r="F177" s="44" t="str">
        <f>配置表!Q176</f>
        <v>○</v>
      </c>
      <c r="G177" s="45">
        <f>配置表!R176</f>
        <v>0</v>
      </c>
      <c r="H177" s="10" t="str">
        <f>配置表!S176</f>
        <v/>
      </c>
      <c r="I177" s="45">
        <f>配置表!T176</f>
        <v>0</v>
      </c>
      <c r="J177" s="10" t="str">
        <f>配置表!U176</f>
        <v>●</v>
      </c>
      <c r="K177" s="32">
        <f>配置表!V176</f>
        <v>0</v>
      </c>
      <c r="L177" s="10" t="str">
        <f>配置表!W176</f>
        <v/>
      </c>
      <c r="M177" s="32">
        <f>配置表!X176</f>
        <v>0</v>
      </c>
      <c r="N177" s="33" t="str">
        <f>配置表!Y176</f>
        <v>○</v>
      </c>
      <c r="O177" s="32">
        <f>配置表!Z176</f>
        <v>1</v>
      </c>
      <c r="P177" s="33" t="str">
        <f>配置表!AA176</f>
        <v>△</v>
      </c>
      <c r="Q177" s="227">
        <f>配置表!AB176</f>
        <v>0.41666666666666669</v>
      </c>
      <c r="R177" s="227">
        <f>配置表!AC176</f>
        <v>0.70833333333333337</v>
      </c>
      <c r="S177" s="238" t="str">
        <f>配置表!AD176</f>
        <v/>
      </c>
      <c r="T177" s="63"/>
      <c r="U177" s="152"/>
      <c r="V177" s="155"/>
      <c r="W177" s="155"/>
      <c r="X177" s="153"/>
      <c r="Y177" s="158"/>
      <c r="Z177" s="182">
        <f>COUNTIF(H173:H203,V177)</f>
        <v>0</v>
      </c>
      <c r="AA177" s="154">
        <f t="shared" si="10"/>
        <v>0</v>
      </c>
      <c r="AB177" s="182"/>
      <c r="AC177" s="183">
        <f t="shared" si="11"/>
        <v>0</v>
      </c>
    </row>
    <row r="178" spans="1:30" ht="13.5">
      <c r="A178" s="28" t="str">
        <f>配置表!L177</f>
        <v/>
      </c>
      <c r="B178" s="9">
        <f>配置表!M177</f>
        <v>45906</v>
      </c>
      <c r="C178" s="10" t="str">
        <f>配置表!N177</f>
        <v>土</v>
      </c>
      <c r="D178" s="62" t="str">
        <f>配置表!O177</f>
        <v>秋　特別展</v>
      </c>
      <c r="E178" s="67" t="str">
        <f>配置表!P177</f>
        <v>テーマ展</v>
      </c>
      <c r="F178" s="44" t="str">
        <f>配置表!Q177</f>
        <v>○</v>
      </c>
      <c r="G178" s="45">
        <f>配置表!R177</f>
        <v>0</v>
      </c>
      <c r="H178" s="10" t="str">
        <f>配置表!S177</f>
        <v>○</v>
      </c>
      <c r="I178" s="45">
        <f>配置表!T177</f>
        <v>0</v>
      </c>
      <c r="J178" s="10" t="str">
        <f>配置表!U177</f>
        <v>●</v>
      </c>
      <c r="K178" s="32">
        <f>配置表!V177</f>
        <v>0</v>
      </c>
      <c r="L178" s="10" t="str">
        <f>配置表!W177</f>
        <v>◎</v>
      </c>
      <c r="M178" s="32">
        <f>配置表!X177</f>
        <v>0</v>
      </c>
      <c r="N178" s="33" t="str">
        <f>配置表!Y177</f>
        <v>○</v>
      </c>
      <c r="O178" s="32">
        <f>配置表!Z177</f>
        <v>5</v>
      </c>
      <c r="P178" s="33" t="str">
        <f>配置表!AA177</f>
        <v>○</v>
      </c>
      <c r="Q178" s="227">
        <f>配置表!AB177</f>
        <v>0.41666666666666669</v>
      </c>
      <c r="R178" s="227">
        <f>配置表!AC177</f>
        <v>0.70833333333333337</v>
      </c>
      <c r="S178" s="238" t="str">
        <f>配置表!AD177</f>
        <v/>
      </c>
      <c r="T178" s="63"/>
      <c r="U178" s="152" t="s">
        <v>90</v>
      </c>
      <c r="V178" s="155" t="s">
        <v>46</v>
      </c>
      <c r="W178" s="155" t="s">
        <v>142</v>
      </c>
      <c r="X178" s="191">
        <v>6.75</v>
      </c>
      <c r="Y178" s="158">
        <v>1</v>
      </c>
      <c r="Z178" s="182">
        <f>COUNTIF(J173:J203,V178)</f>
        <v>25</v>
      </c>
      <c r="AA178" s="154">
        <f t="shared" si="10"/>
        <v>168.75</v>
      </c>
      <c r="AB178" s="182">
        <f>AB$13</f>
        <v>0</v>
      </c>
      <c r="AC178" s="183">
        <f t="shared" si="11"/>
        <v>0</v>
      </c>
    </row>
    <row r="179" spans="1:30" ht="13.5">
      <c r="A179" s="28" t="str">
        <f>配置表!L178</f>
        <v/>
      </c>
      <c r="B179" s="9">
        <f>配置表!M178</f>
        <v>45907</v>
      </c>
      <c r="C179" s="10" t="str">
        <f>配置表!N178</f>
        <v>日</v>
      </c>
      <c r="D179" s="62" t="str">
        <f>配置表!O178</f>
        <v>秋　特別展</v>
      </c>
      <c r="E179" s="67" t="str">
        <f>配置表!P178</f>
        <v>テーマ展</v>
      </c>
      <c r="F179" s="44" t="str">
        <f>配置表!Q178</f>
        <v>○</v>
      </c>
      <c r="G179" s="45">
        <f>配置表!R178</f>
        <v>0</v>
      </c>
      <c r="H179" s="10" t="str">
        <f>配置表!S178</f>
        <v>○</v>
      </c>
      <c r="I179" s="45">
        <f>配置表!T178</f>
        <v>0</v>
      </c>
      <c r="J179" s="10" t="str">
        <f>配置表!U178</f>
        <v>●</v>
      </c>
      <c r="K179" s="32">
        <f>配置表!V178</f>
        <v>0</v>
      </c>
      <c r="L179" s="10" t="str">
        <f>配置表!W178</f>
        <v>◎</v>
      </c>
      <c r="M179" s="32">
        <f>配置表!X178</f>
        <v>0</v>
      </c>
      <c r="N179" s="33" t="str">
        <f>配置表!Y178</f>
        <v>○</v>
      </c>
      <c r="O179" s="32">
        <f>配置表!Z178</f>
        <v>5</v>
      </c>
      <c r="P179" s="33" t="str">
        <f>配置表!AA178</f>
        <v>○</v>
      </c>
      <c r="Q179" s="227">
        <f>配置表!AB178</f>
        <v>0.41666666666666669</v>
      </c>
      <c r="R179" s="227">
        <f>配置表!AC178</f>
        <v>0.70833333333333337</v>
      </c>
      <c r="S179" s="238" t="str">
        <f>配置表!AD178</f>
        <v/>
      </c>
      <c r="T179" s="63"/>
      <c r="U179" s="152"/>
      <c r="V179" s="155"/>
      <c r="W179" s="155"/>
      <c r="X179" s="153"/>
      <c r="Y179" s="158"/>
      <c r="Z179" s="182">
        <f>COUNTIF(J173:J203,V179)</f>
        <v>0</v>
      </c>
      <c r="AA179" s="154">
        <f t="shared" si="10"/>
        <v>0</v>
      </c>
      <c r="AB179" s="182"/>
      <c r="AC179" s="183">
        <f t="shared" si="11"/>
        <v>0</v>
      </c>
    </row>
    <row r="180" spans="1:30" ht="13.5">
      <c r="A180" s="28" t="str">
        <f>配置表!L179</f>
        <v>閉</v>
      </c>
      <c r="B180" s="9">
        <f>配置表!M179</f>
        <v>45908</v>
      </c>
      <c r="C180" s="10" t="str">
        <f>配置表!N179</f>
        <v>月</v>
      </c>
      <c r="D180" s="62" t="str">
        <f>配置表!O179</f>
        <v>秋　特別展</v>
      </c>
      <c r="E180" s="67" t="str">
        <f>配置表!P179</f>
        <v>テーマ展</v>
      </c>
      <c r="F180" s="44" t="str">
        <f>配置表!Q179</f>
        <v>休</v>
      </c>
      <c r="G180" s="32">
        <f>配置表!R179</f>
        <v>0</v>
      </c>
      <c r="H180" s="33" t="str">
        <f>配置表!S179</f>
        <v>休</v>
      </c>
      <c r="I180" s="32">
        <f>配置表!T179</f>
        <v>0</v>
      </c>
      <c r="J180" s="33" t="str">
        <f>配置表!U179</f>
        <v>休</v>
      </c>
      <c r="K180" s="32">
        <f>配置表!V179</f>
        <v>0</v>
      </c>
      <c r="L180" s="33" t="str">
        <f>配置表!W179</f>
        <v>休</v>
      </c>
      <c r="M180" s="32">
        <f>配置表!X179</f>
        <v>0</v>
      </c>
      <c r="N180" s="33" t="str">
        <f>配置表!Y179</f>
        <v>休</v>
      </c>
      <c r="O180" s="32" t="str">
        <f>配置表!Z179</f>
        <v/>
      </c>
      <c r="P180" s="33" t="str">
        <f>配置表!AA179</f>
        <v>休</v>
      </c>
      <c r="Q180" s="227" t="str">
        <f>配置表!AB179</f>
        <v/>
      </c>
      <c r="R180" s="227" t="str">
        <f>配置表!AC179</f>
        <v/>
      </c>
      <c r="S180" s="238" t="str">
        <f>配置表!AD179</f>
        <v/>
      </c>
      <c r="T180" s="63"/>
      <c r="U180" s="152" t="s">
        <v>91</v>
      </c>
      <c r="V180" s="155" t="s">
        <v>66</v>
      </c>
      <c r="W180" s="155" t="s">
        <v>141</v>
      </c>
      <c r="X180" s="191">
        <v>5.25</v>
      </c>
      <c r="Y180" s="158">
        <v>1</v>
      </c>
      <c r="Z180" s="186">
        <f>COUNTIF(L173:L203,V180)</f>
        <v>11</v>
      </c>
      <c r="AA180" s="154">
        <f t="shared" si="10"/>
        <v>57.75</v>
      </c>
      <c r="AB180" s="182">
        <f>AB$15</f>
        <v>0</v>
      </c>
      <c r="AC180" s="183">
        <f t="shared" si="11"/>
        <v>0</v>
      </c>
    </row>
    <row r="181" spans="1:30" ht="13.5">
      <c r="A181" s="28" t="str">
        <f>配置表!L180</f>
        <v/>
      </c>
      <c r="B181" s="9">
        <f>配置表!M180</f>
        <v>45909</v>
      </c>
      <c r="C181" s="10" t="str">
        <f>配置表!N180</f>
        <v>火</v>
      </c>
      <c r="D181" s="62" t="str">
        <f>配置表!O180</f>
        <v>秋　特別展</v>
      </c>
      <c r="E181" s="67" t="str">
        <f>配置表!P180</f>
        <v>テーマ展</v>
      </c>
      <c r="F181" s="44" t="str">
        <f>配置表!Q180</f>
        <v>○</v>
      </c>
      <c r="G181" s="45">
        <f>配置表!R180</f>
        <v>0</v>
      </c>
      <c r="H181" s="10" t="str">
        <f>配置表!S180</f>
        <v/>
      </c>
      <c r="I181" s="45">
        <f>配置表!T180</f>
        <v>0</v>
      </c>
      <c r="J181" s="10" t="str">
        <f>配置表!U180</f>
        <v>●</v>
      </c>
      <c r="K181" s="32">
        <f>配置表!V180</f>
        <v>0</v>
      </c>
      <c r="L181" s="33" t="str">
        <f>配置表!W180</f>
        <v>○</v>
      </c>
      <c r="M181" s="32">
        <f>配置表!X180</f>
        <v>0</v>
      </c>
      <c r="N181" s="33" t="str">
        <f>配置表!Y180</f>
        <v>○</v>
      </c>
      <c r="O181" s="32">
        <f>配置表!Z180</f>
        <v>5</v>
      </c>
      <c r="P181" s="33" t="str">
        <f>配置表!AA180</f>
        <v>○</v>
      </c>
      <c r="Q181" s="227">
        <f>配置表!AB180</f>
        <v>0.41666666666666669</v>
      </c>
      <c r="R181" s="227">
        <f>配置表!AC180</f>
        <v>0.70833333333333337</v>
      </c>
      <c r="S181" s="238" t="str">
        <f>配置表!AD180</f>
        <v/>
      </c>
      <c r="T181" s="63"/>
      <c r="U181" s="152" t="s">
        <v>18</v>
      </c>
      <c r="V181" s="155" t="s">
        <v>15</v>
      </c>
      <c r="W181" s="155" t="s">
        <v>153</v>
      </c>
      <c r="X181" s="153">
        <v>5</v>
      </c>
      <c r="Y181" s="158">
        <v>1</v>
      </c>
      <c r="Z181" s="186">
        <f>COUNTIF(L173:L203,V181)</f>
        <v>10</v>
      </c>
      <c r="AA181" s="154">
        <f t="shared" si="10"/>
        <v>50</v>
      </c>
      <c r="AB181" s="182">
        <f>AB$16</f>
        <v>0</v>
      </c>
      <c r="AC181" s="183">
        <f t="shared" si="11"/>
        <v>0</v>
      </c>
    </row>
    <row r="182" spans="1:30" ht="13.5">
      <c r="A182" s="28" t="str">
        <f>配置表!L181</f>
        <v/>
      </c>
      <c r="B182" s="9">
        <f>配置表!M181</f>
        <v>45910</v>
      </c>
      <c r="C182" s="10" t="str">
        <f>配置表!N181</f>
        <v>水</v>
      </c>
      <c r="D182" s="62" t="str">
        <f>配置表!O181</f>
        <v>秋　特別展</v>
      </c>
      <c r="E182" s="67" t="str">
        <f>配置表!P181</f>
        <v>テーマ展</v>
      </c>
      <c r="F182" s="44" t="str">
        <f>配置表!Q181</f>
        <v>○</v>
      </c>
      <c r="G182" s="45">
        <f>配置表!R181</f>
        <v>0</v>
      </c>
      <c r="H182" s="10" t="str">
        <f>配置表!S181</f>
        <v/>
      </c>
      <c r="I182" s="45">
        <f>配置表!T181</f>
        <v>0</v>
      </c>
      <c r="J182" s="10" t="str">
        <f>配置表!U181</f>
        <v>●</v>
      </c>
      <c r="K182" s="32">
        <f>配置表!V181</f>
        <v>0</v>
      </c>
      <c r="L182" s="33" t="str">
        <f>配置表!W181</f>
        <v>○</v>
      </c>
      <c r="M182" s="32">
        <f>配置表!X181</f>
        <v>0</v>
      </c>
      <c r="N182" s="33" t="str">
        <f>配置表!Y181</f>
        <v>○</v>
      </c>
      <c r="O182" s="32">
        <f>配置表!Z181</f>
        <v>5</v>
      </c>
      <c r="P182" s="33" t="str">
        <f>配置表!AA181</f>
        <v>○</v>
      </c>
      <c r="Q182" s="227">
        <f>配置表!AB181</f>
        <v>0.41666666666666669</v>
      </c>
      <c r="R182" s="227">
        <f>配置表!AC181</f>
        <v>0.70833333333333337</v>
      </c>
      <c r="S182" s="238" t="str">
        <f>配置表!AD181</f>
        <v/>
      </c>
      <c r="T182" s="63"/>
      <c r="U182" s="152"/>
      <c r="V182" s="155"/>
      <c r="W182" s="155"/>
      <c r="X182" s="153"/>
      <c r="Y182" s="158"/>
      <c r="Z182" s="186">
        <f>COUNTIF(N173:N203,V182)</f>
        <v>0</v>
      </c>
      <c r="AA182" s="154">
        <f t="shared" si="10"/>
        <v>0</v>
      </c>
      <c r="AB182" s="182"/>
      <c r="AC182" s="183">
        <f t="shared" si="11"/>
        <v>0</v>
      </c>
    </row>
    <row r="183" spans="1:30" ht="13.5">
      <c r="A183" s="28" t="str">
        <f>配置表!L182</f>
        <v/>
      </c>
      <c r="B183" s="9">
        <f>配置表!M182</f>
        <v>45911</v>
      </c>
      <c r="C183" s="10" t="str">
        <f>配置表!N182</f>
        <v>木</v>
      </c>
      <c r="D183" s="62" t="str">
        <f>配置表!O182</f>
        <v>秋　特別展</v>
      </c>
      <c r="E183" s="67" t="str">
        <f>配置表!P182</f>
        <v>テーマ展</v>
      </c>
      <c r="F183" s="44" t="str">
        <f>配置表!Q182</f>
        <v>○</v>
      </c>
      <c r="G183" s="45">
        <f>配置表!R182</f>
        <v>0</v>
      </c>
      <c r="H183" s="10" t="str">
        <f>配置表!S182</f>
        <v/>
      </c>
      <c r="I183" s="45">
        <f>配置表!T182</f>
        <v>0</v>
      </c>
      <c r="J183" s="10" t="str">
        <f>配置表!U182</f>
        <v>●</v>
      </c>
      <c r="K183" s="32">
        <f>配置表!V182</f>
        <v>0</v>
      </c>
      <c r="L183" s="10" t="str">
        <f>配置表!W182</f>
        <v>○</v>
      </c>
      <c r="M183" s="32">
        <f>配置表!X182</f>
        <v>0</v>
      </c>
      <c r="N183" s="33" t="str">
        <f>配置表!Y182</f>
        <v>○</v>
      </c>
      <c r="O183" s="32">
        <f>配置表!Z182</f>
        <v>5</v>
      </c>
      <c r="P183" s="33" t="str">
        <f>配置表!AA182</f>
        <v>○</v>
      </c>
      <c r="Q183" s="227">
        <f>配置表!AB182</f>
        <v>0.41666666666666669</v>
      </c>
      <c r="R183" s="227">
        <f>配置表!AC182</f>
        <v>0.70833333333333337</v>
      </c>
      <c r="S183" s="238" t="str">
        <f>配置表!AD182</f>
        <v/>
      </c>
      <c r="T183" s="63"/>
      <c r="U183" s="152"/>
      <c r="V183" s="155"/>
      <c r="W183" s="274"/>
      <c r="X183" s="275"/>
      <c r="Y183" s="158"/>
      <c r="Z183" s="186">
        <f>COUNTIF(N173:N203,V183)</f>
        <v>0</v>
      </c>
      <c r="AA183" s="154">
        <f t="shared" si="10"/>
        <v>0</v>
      </c>
      <c r="AB183" s="182"/>
      <c r="AC183" s="183">
        <f t="shared" si="11"/>
        <v>0</v>
      </c>
    </row>
    <row r="184" spans="1:30" ht="13.5">
      <c r="A184" s="28" t="str">
        <f>配置表!L183</f>
        <v/>
      </c>
      <c r="B184" s="9">
        <f>配置表!M183</f>
        <v>45912</v>
      </c>
      <c r="C184" s="10" t="str">
        <f>配置表!N183</f>
        <v>金</v>
      </c>
      <c r="D184" s="62" t="str">
        <f>配置表!O183</f>
        <v>秋　特別展</v>
      </c>
      <c r="E184" s="67" t="str">
        <f>配置表!P183</f>
        <v>テーマ展</v>
      </c>
      <c r="F184" s="44" t="str">
        <f>配置表!Q183</f>
        <v>○</v>
      </c>
      <c r="G184" s="45">
        <f>配置表!R183</f>
        <v>0</v>
      </c>
      <c r="H184" s="10" t="str">
        <f>配置表!S183</f>
        <v/>
      </c>
      <c r="I184" s="45">
        <f>配置表!T183</f>
        <v>0</v>
      </c>
      <c r="J184" s="10" t="str">
        <f>配置表!U183</f>
        <v>●</v>
      </c>
      <c r="K184" s="32">
        <f>配置表!V183</f>
        <v>0</v>
      </c>
      <c r="L184" s="10" t="str">
        <f>配置表!W183</f>
        <v>○</v>
      </c>
      <c r="M184" s="32">
        <f>配置表!X183</f>
        <v>0</v>
      </c>
      <c r="N184" s="33" t="str">
        <f>配置表!Y183</f>
        <v>○</v>
      </c>
      <c r="O184" s="32">
        <f>配置表!Z183</f>
        <v>5</v>
      </c>
      <c r="P184" s="33" t="str">
        <f>配置表!AA183</f>
        <v>○</v>
      </c>
      <c r="Q184" s="227">
        <f>配置表!AB183</f>
        <v>0.41666666666666669</v>
      </c>
      <c r="R184" s="227">
        <f>配置表!AC183</f>
        <v>0.70833333333333337</v>
      </c>
      <c r="S184" s="238" t="str">
        <f>配置表!AD183</f>
        <v/>
      </c>
      <c r="T184" s="63"/>
      <c r="U184" s="152" t="s">
        <v>19</v>
      </c>
      <c r="V184" s="155" t="s">
        <v>66</v>
      </c>
      <c r="W184" s="274" t="s">
        <v>127</v>
      </c>
      <c r="X184" s="275">
        <v>7.5</v>
      </c>
      <c r="Y184" s="158">
        <v>1</v>
      </c>
      <c r="Z184" s="186">
        <f>COUNTIF(N173:N203,V184)</f>
        <v>25</v>
      </c>
      <c r="AA184" s="154">
        <f t="shared" si="10"/>
        <v>187.5</v>
      </c>
      <c r="AB184" s="182">
        <f>AB$19</f>
        <v>0</v>
      </c>
      <c r="AC184" s="183">
        <f t="shared" si="11"/>
        <v>0</v>
      </c>
    </row>
    <row r="185" spans="1:30" ht="13.5">
      <c r="A185" s="28" t="str">
        <f>配置表!L184</f>
        <v/>
      </c>
      <c r="B185" s="9">
        <f>配置表!M184</f>
        <v>45913</v>
      </c>
      <c r="C185" s="10" t="str">
        <f>配置表!N184</f>
        <v>土</v>
      </c>
      <c r="D185" s="62" t="str">
        <f>配置表!O184</f>
        <v>秋　特別展</v>
      </c>
      <c r="E185" s="67" t="str">
        <f>配置表!P184</f>
        <v>テーマ展</v>
      </c>
      <c r="F185" s="44" t="str">
        <f>配置表!Q184</f>
        <v>○</v>
      </c>
      <c r="G185" s="45">
        <f>配置表!R184</f>
        <v>0</v>
      </c>
      <c r="H185" s="10" t="str">
        <f>配置表!S184</f>
        <v>○</v>
      </c>
      <c r="I185" s="45">
        <f>配置表!T184</f>
        <v>0</v>
      </c>
      <c r="J185" s="10" t="str">
        <f>配置表!U184</f>
        <v>●</v>
      </c>
      <c r="K185" s="32">
        <f>配置表!V184</f>
        <v>0</v>
      </c>
      <c r="L185" s="10" t="str">
        <f>配置表!W184</f>
        <v>◎</v>
      </c>
      <c r="M185" s="32">
        <f>配置表!X184</f>
        <v>0</v>
      </c>
      <c r="N185" s="33" t="str">
        <f>配置表!Y184</f>
        <v>○</v>
      </c>
      <c r="O185" s="32">
        <f>配置表!Z184</f>
        <v>5</v>
      </c>
      <c r="P185" s="33" t="str">
        <f>配置表!AA184</f>
        <v>○</v>
      </c>
      <c r="Q185" s="227">
        <f>配置表!AB184</f>
        <v>0.41666666666666669</v>
      </c>
      <c r="R185" s="227">
        <f>配置表!AC184</f>
        <v>0.70833333333333337</v>
      </c>
      <c r="S185" s="238" t="str">
        <f>配置表!AD184</f>
        <v/>
      </c>
      <c r="T185" s="63"/>
      <c r="U185" s="152"/>
      <c r="V185" s="155"/>
      <c r="W185" s="155"/>
      <c r="X185" s="153"/>
      <c r="Y185" s="158"/>
      <c r="Z185" s="186">
        <f>COUNTIF(P173:P203,V185)</f>
        <v>0</v>
      </c>
      <c r="AA185" s="154">
        <f t="shared" si="10"/>
        <v>0</v>
      </c>
      <c r="AB185" s="182"/>
      <c r="AC185" s="183">
        <f t="shared" si="11"/>
        <v>0</v>
      </c>
    </row>
    <row r="186" spans="1:30" ht="13.5">
      <c r="A186" s="28" t="str">
        <f>配置表!L185</f>
        <v/>
      </c>
      <c r="B186" s="9">
        <f>配置表!M185</f>
        <v>45914</v>
      </c>
      <c r="C186" s="10" t="str">
        <f>配置表!N185</f>
        <v>日</v>
      </c>
      <c r="D186" s="62" t="str">
        <f>配置表!O185</f>
        <v>秋　特別展</v>
      </c>
      <c r="E186" s="67" t="str">
        <f>配置表!P185</f>
        <v>テーマ展</v>
      </c>
      <c r="F186" s="44" t="str">
        <f>配置表!Q185</f>
        <v>○</v>
      </c>
      <c r="G186" s="45">
        <f>配置表!R185</f>
        <v>0</v>
      </c>
      <c r="H186" s="10" t="str">
        <f>配置表!S185</f>
        <v>○</v>
      </c>
      <c r="I186" s="45">
        <f>配置表!T185</f>
        <v>0</v>
      </c>
      <c r="J186" s="10" t="str">
        <f>配置表!U185</f>
        <v>●</v>
      </c>
      <c r="K186" s="32">
        <f>配置表!V185</f>
        <v>0</v>
      </c>
      <c r="L186" s="10" t="str">
        <f>配置表!W185</f>
        <v>◎</v>
      </c>
      <c r="M186" s="32">
        <f>配置表!X185</f>
        <v>0</v>
      </c>
      <c r="N186" s="33" t="str">
        <f>配置表!Y185</f>
        <v>○</v>
      </c>
      <c r="O186" s="32">
        <f>配置表!Z185</f>
        <v>5</v>
      </c>
      <c r="P186" s="33" t="str">
        <f>配置表!AA185</f>
        <v>○</v>
      </c>
      <c r="Q186" s="227">
        <f>配置表!AB185</f>
        <v>0.41666666666666669</v>
      </c>
      <c r="R186" s="227">
        <f>配置表!AC185</f>
        <v>0.70833333333333337</v>
      </c>
      <c r="S186" s="238" t="str">
        <f>配置表!AD185</f>
        <v/>
      </c>
      <c r="T186" s="63"/>
      <c r="U186" s="152"/>
      <c r="V186" s="155"/>
      <c r="W186" s="274"/>
      <c r="X186" s="275"/>
      <c r="Y186" s="158"/>
      <c r="Z186" s="182">
        <f>COUNTIF(P173:P203,V186)</f>
        <v>0</v>
      </c>
      <c r="AA186" s="154">
        <f t="shared" si="10"/>
        <v>0</v>
      </c>
      <c r="AB186" s="182"/>
      <c r="AC186" s="183">
        <f t="shared" si="11"/>
        <v>0</v>
      </c>
    </row>
    <row r="187" spans="1:30" ht="13.5">
      <c r="A187" s="28" t="str">
        <f>配置表!L186</f>
        <v/>
      </c>
      <c r="B187" s="9">
        <f>配置表!M186</f>
        <v>45915</v>
      </c>
      <c r="C187" s="10" t="str">
        <f>配置表!N186</f>
        <v>月</v>
      </c>
      <c r="D187" s="62" t="str">
        <f>配置表!O186</f>
        <v>秋　特別展</v>
      </c>
      <c r="E187" s="67" t="str">
        <f>配置表!P186</f>
        <v>テーマ展</v>
      </c>
      <c r="F187" s="44" t="str">
        <f>配置表!Q186</f>
        <v>○</v>
      </c>
      <c r="G187" s="45">
        <f>配置表!R186</f>
        <v>0</v>
      </c>
      <c r="H187" s="10" t="str">
        <f>配置表!S186</f>
        <v>○</v>
      </c>
      <c r="I187" s="45">
        <f>配置表!T186</f>
        <v>0</v>
      </c>
      <c r="J187" s="10" t="str">
        <f>配置表!U186</f>
        <v>●</v>
      </c>
      <c r="K187" s="32">
        <f>配置表!V186</f>
        <v>0</v>
      </c>
      <c r="L187" s="10" t="str">
        <f>配置表!W186</f>
        <v>◎</v>
      </c>
      <c r="M187" s="32">
        <f>配置表!X186</f>
        <v>0</v>
      </c>
      <c r="N187" s="33" t="str">
        <f>配置表!Y186</f>
        <v>○</v>
      </c>
      <c r="O187" s="32">
        <f>配置表!Z186</f>
        <v>5</v>
      </c>
      <c r="P187" s="33" t="str">
        <f>配置表!AA186</f>
        <v>○</v>
      </c>
      <c r="Q187" s="227">
        <f>配置表!AB186</f>
        <v>0.41666666666666669</v>
      </c>
      <c r="R187" s="227">
        <f>配置表!AC186</f>
        <v>0.70833333333333337</v>
      </c>
      <c r="S187" s="238" t="str">
        <f>配置表!AD186</f>
        <v>敬老の日</v>
      </c>
      <c r="T187" s="63"/>
      <c r="U187" s="152" t="s">
        <v>69</v>
      </c>
      <c r="V187" s="155" t="s">
        <v>66</v>
      </c>
      <c r="W187" s="274" t="s">
        <v>127</v>
      </c>
      <c r="X187" s="275">
        <v>7.5</v>
      </c>
      <c r="Y187" s="158">
        <v>5</v>
      </c>
      <c r="Z187" s="182">
        <f>COUNTIF(P173:P203,V187)</f>
        <v>21</v>
      </c>
      <c r="AA187" s="154">
        <f t="shared" si="10"/>
        <v>787.5</v>
      </c>
      <c r="AB187" s="182">
        <f>AB$22</f>
        <v>0</v>
      </c>
      <c r="AC187" s="183">
        <f t="shared" si="11"/>
        <v>0</v>
      </c>
    </row>
    <row r="188" spans="1:30" ht="13.5">
      <c r="A188" s="28" t="str">
        <f>配置表!L187</f>
        <v>閉</v>
      </c>
      <c r="B188" s="9">
        <f>配置表!M187</f>
        <v>45916</v>
      </c>
      <c r="C188" s="10" t="str">
        <f>配置表!N187</f>
        <v>火</v>
      </c>
      <c r="D188" s="62" t="str">
        <f>配置表!O187</f>
        <v>秋　特別展</v>
      </c>
      <c r="E188" s="67" t="str">
        <f>配置表!P187</f>
        <v>テーマ展</v>
      </c>
      <c r="F188" s="44" t="str">
        <f>配置表!Q187</f>
        <v>休</v>
      </c>
      <c r="G188" s="32">
        <f>配置表!R187</f>
        <v>0</v>
      </c>
      <c r="H188" s="10" t="str">
        <f>配置表!S187</f>
        <v>休</v>
      </c>
      <c r="I188" s="32">
        <f>配置表!T187</f>
        <v>0</v>
      </c>
      <c r="J188" s="33" t="str">
        <f>配置表!U187</f>
        <v>休</v>
      </c>
      <c r="K188" s="32">
        <f>配置表!V187</f>
        <v>0</v>
      </c>
      <c r="L188" s="33" t="str">
        <f>配置表!W187</f>
        <v>休</v>
      </c>
      <c r="M188" s="32">
        <f>配置表!X187</f>
        <v>0</v>
      </c>
      <c r="N188" s="33" t="str">
        <f>配置表!Y187</f>
        <v>休</v>
      </c>
      <c r="O188" s="32" t="str">
        <f>配置表!Z187</f>
        <v/>
      </c>
      <c r="P188" s="33" t="str">
        <f>配置表!AA187</f>
        <v>休</v>
      </c>
      <c r="Q188" s="227" t="str">
        <f>配置表!AB187</f>
        <v/>
      </c>
      <c r="R188" s="227" t="str">
        <f>配置表!AC187</f>
        <v/>
      </c>
      <c r="S188" s="238" t="str">
        <f>配置表!AD187</f>
        <v/>
      </c>
      <c r="T188" s="63"/>
      <c r="U188" s="187" t="s">
        <v>69</v>
      </c>
      <c r="V188" s="155" t="s">
        <v>75</v>
      </c>
      <c r="W188" s="274" t="s">
        <v>127</v>
      </c>
      <c r="X188" s="275">
        <v>7.5</v>
      </c>
      <c r="Y188" s="158">
        <v>1</v>
      </c>
      <c r="Z188" s="186">
        <f>COUNTIF(P173:P203,V188)+Z189</f>
        <v>4</v>
      </c>
      <c r="AA188" s="154">
        <f t="shared" si="10"/>
        <v>30</v>
      </c>
      <c r="AB188" s="182">
        <f>AB$56</f>
        <v>0</v>
      </c>
      <c r="AC188" s="183">
        <f t="shared" si="11"/>
        <v>0</v>
      </c>
      <c r="AD188" s="1" t="s">
        <v>95</v>
      </c>
    </row>
    <row r="189" spans="1:30" ht="13.5">
      <c r="A189" s="28" t="str">
        <f>配置表!L188</f>
        <v/>
      </c>
      <c r="B189" s="9">
        <f>配置表!M188</f>
        <v>45917</v>
      </c>
      <c r="C189" s="10" t="str">
        <f>配置表!N188</f>
        <v>水</v>
      </c>
      <c r="D189" s="62" t="str">
        <f>配置表!O188</f>
        <v>秋　特別展</v>
      </c>
      <c r="E189" s="67" t="str">
        <f>配置表!P188</f>
        <v>テーマ展</v>
      </c>
      <c r="F189" s="44" t="str">
        <f>配置表!Q188</f>
        <v>○</v>
      </c>
      <c r="G189" s="45">
        <f>配置表!R188</f>
        <v>0</v>
      </c>
      <c r="H189" s="10" t="str">
        <f>配置表!S188</f>
        <v/>
      </c>
      <c r="I189" s="45">
        <f>配置表!T188</f>
        <v>0</v>
      </c>
      <c r="J189" s="10" t="str">
        <f>配置表!U188</f>
        <v>●</v>
      </c>
      <c r="K189" s="32">
        <f>配置表!V188</f>
        <v>0</v>
      </c>
      <c r="L189" s="33" t="str">
        <f>配置表!W188</f>
        <v>○</v>
      </c>
      <c r="M189" s="32">
        <f>配置表!X188</f>
        <v>0</v>
      </c>
      <c r="N189" s="33" t="str">
        <f>配置表!Y188</f>
        <v>○</v>
      </c>
      <c r="O189" s="32">
        <f>配置表!Z188</f>
        <v>5</v>
      </c>
      <c r="P189" s="33" t="str">
        <f>配置表!AA188</f>
        <v>○</v>
      </c>
      <c r="Q189" s="227">
        <f>配置表!AB188</f>
        <v>0.41666666666666669</v>
      </c>
      <c r="R189" s="227">
        <f>配置表!AC188</f>
        <v>0.70833333333333337</v>
      </c>
      <c r="S189" s="238" t="str">
        <f>配置表!AD188</f>
        <v/>
      </c>
      <c r="T189" s="63"/>
      <c r="U189" s="152" t="s">
        <v>69</v>
      </c>
      <c r="V189" s="155" t="s">
        <v>93</v>
      </c>
      <c r="W189" s="155" t="s">
        <v>154</v>
      </c>
      <c r="X189" s="191">
        <v>2.75</v>
      </c>
      <c r="Y189" s="158">
        <v>4</v>
      </c>
      <c r="Z189" s="186">
        <f>COUNTIF(P173:P203,V189)</f>
        <v>0</v>
      </c>
      <c r="AA189" s="154">
        <f t="shared" si="10"/>
        <v>0</v>
      </c>
      <c r="AB189" s="182"/>
      <c r="AC189" s="183">
        <f t="shared" si="11"/>
        <v>0</v>
      </c>
    </row>
    <row r="190" spans="1:30" ht="13.5">
      <c r="A190" s="28" t="str">
        <f>配置表!L189</f>
        <v/>
      </c>
      <c r="B190" s="9">
        <f>配置表!M189</f>
        <v>45918</v>
      </c>
      <c r="C190" s="10" t="str">
        <f>配置表!N189</f>
        <v>木</v>
      </c>
      <c r="D190" s="62" t="str">
        <f>配置表!O189</f>
        <v>秋　特別展</v>
      </c>
      <c r="E190" s="67" t="str">
        <f>配置表!P189</f>
        <v>テーマ展</v>
      </c>
      <c r="F190" s="44" t="str">
        <f>配置表!Q189</f>
        <v>○</v>
      </c>
      <c r="G190" s="45">
        <f>配置表!R189</f>
        <v>0</v>
      </c>
      <c r="H190" s="10" t="str">
        <f>配置表!S189</f>
        <v/>
      </c>
      <c r="I190" s="45">
        <f>配置表!T189</f>
        <v>0</v>
      </c>
      <c r="J190" s="10" t="str">
        <f>配置表!U189</f>
        <v>●</v>
      </c>
      <c r="K190" s="32">
        <f>配置表!V189</f>
        <v>0</v>
      </c>
      <c r="L190" s="33" t="str">
        <f>配置表!W189</f>
        <v>○</v>
      </c>
      <c r="M190" s="32">
        <f>配置表!X189</f>
        <v>0</v>
      </c>
      <c r="N190" s="33" t="str">
        <f>配置表!Y189</f>
        <v>○</v>
      </c>
      <c r="O190" s="32">
        <f>配置表!Z189</f>
        <v>5</v>
      </c>
      <c r="P190" s="33" t="str">
        <f>配置表!AA189</f>
        <v>○</v>
      </c>
      <c r="Q190" s="227">
        <f>配置表!AB189</f>
        <v>0.41666666666666669</v>
      </c>
      <c r="R190" s="227">
        <f>配置表!AC189</f>
        <v>0.70833333333333337</v>
      </c>
      <c r="S190" s="238" t="str">
        <f>配置表!AD189</f>
        <v/>
      </c>
      <c r="T190" s="63"/>
      <c r="U190" s="159" t="s">
        <v>64</v>
      </c>
      <c r="V190" s="160"/>
      <c r="W190" s="160"/>
      <c r="X190" s="188"/>
      <c r="Y190" s="188"/>
      <c r="Z190" s="189">
        <f>SUM(Z173:Z189)</f>
        <v>131</v>
      </c>
      <c r="AA190" s="190">
        <f>SUM(AA173:AA189)</f>
        <v>1546.5</v>
      </c>
      <c r="AB190" s="182"/>
      <c r="AC190" s="183">
        <f>SUM(AC173:AC189)</f>
        <v>0</v>
      </c>
    </row>
    <row r="191" spans="1:30" ht="14.25" thickBot="1">
      <c r="A191" s="28" t="str">
        <f>配置表!L190</f>
        <v/>
      </c>
      <c r="B191" s="9">
        <f>配置表!M190</f>
        <v>45919</v>
      </c>
      <c r="C191" s="10" t="str">
        <f>配置表!N190</f>
        <v>金</v>
      </c>
      <c r="D191" s="62" t="str">
        <f>配置表!O190</f>
        <v>秋　特別展</v>
      </c>
      <c r="E191" s="67" t="str">
        <f>配置表!P190</f>
        <v>テーマ展</v>
      </c>
      <c r="F191" s="44" t="str">
        <f>配置表!Q190</f>
        <v>○</v>
      </c>
      <c r="G191" s="45">
        <f>配置表!R190</f>
        <v>0</v>
      </c>
      <c r="H191" s="10" t="str">
        <f>配置表!S190</f>
        <v/>
      </c>
      <c r="I191" s="45">
        <f>配置表!T190</f>
        <v>0</v>
      </c>
      <c r="J191" s="10" t="str">
        <f>配置表!U190</f>
        <v>●</v>
      </c>
      <c r="K191" s="32">
        <f>配置表!V190</f>
        <v>0</v>
      </c>
      <c r="L191" s="10" t="str">
        <f>配置表!W190</f>
        <v>○</v>
      </c>
      <c r="M191" s="32">
        <f>配置表!X190</f>
        <v>0</v>
      </c>
      <c r="N191" s="33" t="str">
        <f>配置表!Y190</f>
        <v>○</v>
      </c>
      <c r="O191" s="32">
        <f>配置表!Z190</f>
        <v>5</v>
      </c>
      <c r="P191" s="33" t="str">
        <f>配置表!AA190</f>
        <v>○</v>
      </c>
      <c r="Q191" s="227">
        <f>配置表!AB190</f>
        <v>0.41666666666666669</v>
      </c>
      <c r="R191" s="227">
        <f>配置表!AC190</f>
        <v>0.70833333333333337</v>
      </c>
      <c r="S191" s="238" t="str">
        <f>配置表!AD190</f>
        <v/>
      </c>
      <c r="T191" s="63"/>
      <c r="U191" s="178" t="s">
        <v>65</v>
      </c>
      <c r="V191" s="179"/>
      <c r="W191" s="179"/>
      <c r="X191" s="180"/>
      <c r="Y191" s="180"/>
      <c r="Z191" s="180"/>
      <c r="AA191" s="170"/>
      <c r="AB191" s="184"/>
      <c r="AC191" s="185">
        <f>ROUNDDOWN(AC190*1.1,0)</f>
        <v>0</v>
      </c>
    </row>
    <row r="192" spans="1:30" ht="14.25" thickBot="1">
      <c r="A192" s="28" t="str">
        <f>配置表!L191</f>
        <v/>
      </c>
      <c r="B192" s="9">
        <f>配置表!M191</f>
        <v>45920</v>
      </c>
      <c r="C192" s="10" t="str">
        <f>配置表!N191</f>
        <v>土</v>
      </c>
      <c r="D192" s="62" t="str">
        <f>配置表!O191</f>
        <v>秋　特別展</v>
      </c>
      <c r="E192" s="67" t="str">
        <f>配置表!P191</f>
        <v>テーマ展</v>
      </c>
      <c r="F192" s="44" t="str">
        <f>配置表!Q191</f>
        <v>○</v>
      </c>
      <c r="G192" s="45">
        <f>配置表!R191</f>
        <v>0</v>
      </c>
      <c r="H192" s="10" t="str">
        <f>配置表!S191</f>
        <v>○</v>
      </c>
      <c r="I192" s="45">
        <f>配置表!T191</f>
        <v>0</v>
      </c>
      <c r="J192" s="10" t="str">
        <f>配置表!U191</f>
        <v>●</v>
      </c>
      <c r="K192" s="32">
        <f>配置表!V191</f>
        <v>0</v>
      </c>
      <c r="L192" s="10" t="str">
        <f>配置表!W191</f>
        <v>◎</v>
      </c>
      <c r="M192" s="32">
        <f>配置表!X191</f>
        <v>0</v>
      </c>
      <c r="N192" s="33" t="str">
        <f>配置表!Y191</f>
        <v>○</v>
      </c>
      <c r="O192" s="32">
        <f>配置表!Z191</f>
        <v>5</v>
      </c>
      <c r="P192" s="33" t="str">
        <f>配置表!AA191</f>
        <v>○</v>
      </c>
      <c r="Q192" s="227">
        <f>配置表!AB191</f>
        <v>0.41666666666666669</v>
      </c>
      <c r="R192" s="227">
        <f>配置表!AC191</f>
        <v>0.70833333333333337</v>
      </c>
      <c r="S192" s="238" t="str">
        <f>配置表!AD191</f>
        <v/>
      </c>
      <c r="T192" s="63"/>
      <c r="U192" s="178" t="s">
        <v>65</v>
      </c>
      <c r="V192" s="179"/>
      <c r="W192" s="179"/>
      <c r="X192" s="180"/>
      <c r="Y192" s="180"/>
      <c r="Z192" s="180"/>
      <c r="AA192" s="170"/>
      <c r="AB192" s="184"/>
      <c r="AC192" s="185">
        <f>ROUNDDOWN(AC191*1.1,0)</f>
        <v>0</v>
      </c>
    </row>
    <row r="193" spans="1:29">
      <c r="A193" s="28" t="str">
        <f>配置表!L192</f>
        <v/>
      </c>
      <c r="B193" s="9">
        <f>配置表!M192</f>
        <v>45921</v>
      </c>
      <c r="C193" s="10" t="str">
        <f>配置表!N192</f>
        <v>日</v>
      </c>
      <c r="D193" s="62" t="str">
        <f>配置表!O192</f>
        <v>秋　特別展</v>
      </c>
      <c r="E193" s="67" t="str">
        <f>配置表!P192</f>
        <v>テーマ展</v>
      </c>
      <c r="F193" s="44" t="str">
        <f>配置表!Q192</f>
        <v>○</v>
      </c>
      <c r="G193" s="45">
        <f>配置表!R192</f>
        <v>0</v>
      </c>
      <c r="H193" s="10" t="str">
        <f>配置表!S192</f>
        <v>○</v>
      </c>
      <c r="I193" s="45">
        <f>配置表!T192</f>
        <v>0</v>
      </c>
      <c r="J193" s="10" t="str">
        <f>配置表!U192</f>
        <v>●</v>
      </c>
      <c r="K193" s="32">
        <f>配置表!V192</f>
        <v>0</v>
      </c>
      <c r="L193" s="10" t="str">
        <f>配置表!W192</f>
        <v>◎</v>
      </c>
      <c r="M193" s="32">
        <f>配置表!X192</f>
        <v>0</v>
      </c>
      <c r="N193" s="33" t="str">
        <f>配置表!Y192</f>
        <v>○</v>
      </c>
      <c r="O193" s="32">
        <f>配置表!Z192</f>
        <v>5</v>
      </c>
      <c r="P193" s="33" t="str">
        <f>配置表!AA192</f>
        <v>○</v>
      </c>
      <c r="Q193" s="227">
        <f>配置表!AB192</f>
        <v>0.41666666666666669</v>
      </c>
      <c r="R193" s="227">
        <f>配置表!AC192</f>
        <v>0.70833333333333337</v>
      </c>
      <c r="S193" s="238" t="str">
        <f>配置表!AD192</f>
        <v/>
      </c>
      <c r="T193" s="63"/>
    </row>
    <row r="194" spans="1:29">
      <c r="A194" s="28" t="str">
        <f>配置表!L193</f>
        <v>閉</v>
      </c>
      <c r="B194" s="9">
        <f>配置表!M193</f>
        <v>45922</v>
      </c>
      <c r="C194" s="10" t="str">
        <f>配置表!N193</f>
        <v>月</v>
      </c>
      <c r="D194" s="62" t="str">
        <f>配置表!O193</f>
        <v>秋　特別展</v>
      </c>
      <c r="E194" s="67" t="str">
        <f>配置表!P193</f>
        <v>テーマ展</v>
      </c>
      <c r="F194" s="44" t="str">
        <f>配置表!Q193</f>
        <v>休</v>
      </c>
      <c r="G194" s="32">
        <f>配置表!R193</f>
        <v>0</v>
      </c>
      <c r="H194" s="10" t="str">
        <f>配置表!S193</f>
        <v>休</v>
      </c>
      <c r="I194" s="32">
        <f>配置表!T193</f>
        <v>0</v>
      </c>
      <c r="J194" s="33" t="str">
        <f>配置表!U193</f>
        <v>休</v>
      </c>
      <c r="K194" s="32">
        <f>配置表!V193</f>
        <v>0</v>
      </c>
      <c r="L194" s="33" t="str">
        <f>配置表!W193</f>
        <v>休</v>
      </c>
      <c r="M194" s="32">
        <f>配置表!X193</f>
        <v>0</v>
      </c>
      <c r="N194" s="33" t="str">
        <f>配置表!Y193</f>
        <v>休</v>
      </c>
      <c r="O194" s="32" t="str">
        <f>配置表!Z193</f>
        <v/>
      </c>
      <c r="P194" s="33" t="str">
        <f>配置表!AA193</f>
        <v>休</v>
      </c>
      <c r="Q194" s="227" t="str">
        <f>配置表!AB193</f>
        <v/>
      </c>
      <c r="R194" s="227" t="str">
        <f>配置表!AC193</f>
        <v/>
      </c>
      <c r="S194" s="238" t="str">
        <f>配置表!AD193</f>
        <v/>
      </c>
      <c r="T194" s="63"/>
      <c r="W194" s="12"/>
    </row>
    <row r="195" spans="1:29">
      <c r="A195" s="28" t="str">
        <f>配置表!L194</f>
        <v/>
      </c>
      <c r="B195" s="9">
        <f>配置表!M194</f>
        <v>45923</v>
      </c>
      <c r="C195" s="10" t="str">
        <f>配置表!N194</f>
        <v>火</v>
      </c>
      <c r="D195" s="62" t="str">
        <f>配置表!O194</f>
        <v>秋　特別展</v>
      </c>
      <c r="E195" s="67" t="str">
        <f>配置表!P194</f>
        <v>テーマ展</v>
      </c>
      <c r="F195" s="44" t="str">
        <f>配置表!Q194</f>
        <v>○</v>
      </c>
      <c r="G195" s="45">
        <f>配置表!R194</f>
        <v>0</v>
      </c>
      <c r="H195" s="10" t="str">
        <f>配置表!S194</f>
        <v>○</v>
      </c>
      <c r="I195" s="45">
        <f>配置表!T194</f>
        <v>0</v>
      </c>
      <c r="J195" s="10" t="str">
        <f>配置表!U194</f>
        <v>●</v>
      </c>
      <c r="K195" s="32">
        <f>配置表!V194</f>
        <v>0</v>
      </c>
      <c r="L195" s="33" t="str">
        <f>配置表!W194</f>
        <v>◎</v>
      </c>
      <c r="M195" s="32">
        <f>配置表!X194</f>
        <v>0</v>
      </c>
      <c r="N195" s="33" t="str">
        <f>配置表!Y194</f>
        <v>○</v>
      </c>
      <c r="O195" s="32">
        <f>配置表!Z194</f>
        <v>5</v>
      </c>
      <c r="P195" s="33" t="str">
        <f>配置表!AA194</f>
        <v>○</v>
      </c>
      <c r="Q195" s="227">
        <f>配置表!AB194</f>
        <v>0.41666666666666669</v>
      </c>
      <c r="R195" s="227">
        <f>配置表!AC194</f>
        <v>0.70833333333333337</v>
      </c>
      <c r="S195" s="238" t="str">
        <f>配置表!AD194</f>
        <v>秋分の日</v>
      </c>
      <c r="T195" s="63"/>
    </row>
    <row r="196" spans="1:29">
      <c r="A196" s="28" t="str">
        <f>配置表!L195</f>
        <v/>
      </c>
      <c r="B196" s="9">
        <f>配置表!M195</f>
        <v>45924</v>
      </c>
      <c r="C196" s="10" t="str">
        <f>配置表!N195</f>
        <v>水</v>
      </c>
      <c r="D196" s="62" t="str">
        <f>配置表!O195</f>
        <v>秋　特別展</v>
      </c>
      <c r="E196" s="67" t="str">
        <f>配置表!P195</f>
        <v>テーマ展</v>
      </c>
      <c r="F196" s="44" t="str">
        <f>配置表!Q195</f>
        <v>○</v>
      </c>
      <c r="G196" s="45">
        <f>配置表!R195</f>
        <v>0</v>
      </c>
      <c r="H196" s="10" t="str">
        <f>配置表!S195</f>
        <v/>
      </c>
      <c r="I196" s="45">
        <f>配置表!T195</f>
        <v>0</v>
      </c>
      <c r="J196" s="10" t="str">
        <f>配置表!U195</f>
        <v>●</v>
      </c>
      <c r="K196" s="32">
        <f>配置表!V195</f>
        <v>0</v>
      </c>
      <c r="L196" s="33" t="str">
        <f>配置表!W195</f>
        <v>○</v>
      </c>
      <c r="M196" s="32">
        <f>配置表!X195</f>
        <v>0</v>
      </c>
      <c r="N196" s="33" t="str">
        <f>配置表!Y195</f>
        <v>○</v>
      </c>
      <c r="O196" s="32">
        <f>配置表!Z195</f>
        <v>5</v>
      </c>
      <c r="P196" s="33" t="str">
        <f>配置表!AA195</f>
        <v>○</v>
      </c>
      <c r="Q196" s="227">
        <f>配置表!AB195</f>
        <v>0.41666666666666669</v>
      </c>
      <c r="R196" s="227">
        <f>配置表!AC195</f>
        <v>0.70833333333333337</v>
      </c>
      <c r="S196" s="238" t="str">
        <f>配置表!AD195</f>
        <v/>
      </c>
      <c r="T196" s="63"/>
    </row>
    <row r="197" spans="1:29">
      <c r="A197" s="28" t="str">
        <f>配置表!L196</f>
        <v/>
      </c>
      <c r="B197" s="9">
        <f>配置表!M196</f>
        <v>45925</v>
      </c>
      <c r="C197" s="10" t="str">
        <f>配置表!N196</f>
        <v>木</v>
      </c>
      <c r="D197" s="62" t="str">
        <f>配置表!O196</f>
        <v>秋　特別展</v>
      </c>
      <c r="E197" s="67" t="str">
        <f>配置表!P196</f>
        <v>テーマ展</v>
      </c>
      <c r="F197" s="44" t="str">
        <f>配置表!Q196</f>
        <v>○</v>
      </c>
      <c r="G197" s="45">
        <f>配置表!R196</f>
        <v>0</v>
      </c>
      <c r="H197" s="10" t="str">
        <f>配置表!S196</f>
        <v/>
      </c>
      <c r="I197" s="45">
        <f>配置表!T196</f>
        <v>0</v>
      </c>
      <c r="J197" s="10" t="str">
        <f>配置表!U196</f>
        <v>●</v>
      </c>
      <c r="K197" s="32">
        <f>配置表!V196</f>
        <v>0</v>
      </c>
      <c r="L197" s="10" t="str">
        <f>配置表!W196</f>
        <v>○</v>
      </c>
      <c r="M197" s="32">
        <f>配置表!X196</f>
        <v>0</v>
      </c>
      <c r="N197" s="33" t="str">
        <f>配置表!Y196</f>
        <v>○</v>
      </c>
      <c r="O197" s="32">
        <f>配置表!Z196</f>
        <v>5</v>
      </c>
      <c r="P197" s="33" t="str">
        <f>配置表!AA196</f>
        <v>○</v>
      </c>
      <c r="Q197" s="227">
        <f>配置表!AB196</f>
        <v>0.41666666666666669</v>
      </c>
      <c r="R197" s="227">
        <f>配置表!AC196</f>
        <v>0.70833333333333337</v>
      </c>
      <c r="S197" s="238" t="str">
        <f>配置表!AD196</f>
        <v/>
      </c>
      <c r="T197" s="63"/>
      <c r="U197" s="4"/>
      <c r="V197" s="162"/>
      <c r="W197" s="162"/>
      <c r="X197" s="4"/>
      <c r="Y197" s="4"/>
      <c r="Z197" s="4"/>
      <c r="AA197" s="4"/>
      <c r="AB197" s="4"/>
      <c r="AC197" s="4"/>
    </row>
    <row r="198" spans="1:29">
      <c r="A198" s="28" t="str">
        <f>配置表!L197</f>
        <v/>
      </c>
      <c r="B198" s="9">
        <f>配置表!M197</f>
        <v>45926</v>
      </c>
      <c r="C198" s="10" t="str">
        <f>配置表!N197</f>
        <v>金</v>
      </c>
      <c r="D198" s="62" t="str">
        <f>配置表!O197</f>
        <v>秋　特別展</v>
      </c>
      <c r="E198" s="67" t="str">
        <f>配置表!P197</f>
        <v>テーマ展</v>
      </c>
      <c r="F198" s="44" t="str">
        <f>配置表!Q197</f>
        <v>○</v>
      </c>
      <c r="G198" s="45">
        <f>配置表!R197</f>
        <v>0</v>
      </c>
      <c r="H198" s="10" t="str">
        <f>配置表!S197</f>
        <v/>
      </c>
      <c r="I198" s="45">
        <f>配置表!T197</f>
        <v>0</v>
      </c>
      <c r="J198" s="10" t="str">
        <f>配置表!U197</f>
        <v>●</v>
      </c>
      <c r="K198" s="32">
        <f>配置表!V197</f>
        <v>0</v>
      </c>
      <c r="L198" s="10" t="str">
        <f>配置表!W197</f>
        <v>○</v>
      </c>
      <c r="M198" s="32">
        <f>配置表!X197</f>
        <v>0</v>
      </c>
      <c r="N198" s="33" t="str">
        <f>配置表!Y197</f>
        <v>○</v>
      </c>
      <c r="O198" s="32">
        <f>配置表!Z197</f>
        <v>5</v>
      </c>
      <c r="P198" s="33" t="str">
        <f>配置表!AA197</f>
        <v>○</v>
      </c>
      <c r="Q198" s="227">
        <f>配置表!AB197</f>
        <v>0.41666666666666669</v>
      </c>
      <c r="R198" s="227">
        <f>配置表!AC197</f>
        <v>0.70833333333333337</v>
      </c>
      <c r="S198" s="238" t="str">
        <f>配置表!AD197</f>
        <v/>
      </c>
      <c r="T198" s="63"/>
      <c r="U198" s="4"/>
      <c r="V198" s="162"/>
      <c r="W198" s="162"/>
      <c r="X198" s="4"/>
      <c r="Y198" s="4"/>
      <c r="Z198" s="4"/>
      <c r="AA198" s="4"/>
      <c r="AB198" s="4"/>
      <c r="AC198" s="4"/>
    </row>
    <row r="199" spans="1:29" ht="13.5">
      <c r="A199" s="28" t="str">
        <f>配置表!L198</f>
        <v/>
      </c>
      <c r="B199" s="9">
        <f>配置表!M198</f>
        <v>45927</v>
      </c>
      <c r="C199" s="10" t="str">
        <f>配置表!N198</f>
        <v>土</v>
      </c>
      <c r="D199" s="62" t="str">
        <f>配置表!O198</f>
        <v>秋　特別展</v>
      </c>
      <c r="E199" s="67" t="str">
        <f>配置表!P198</f>
        <v>テーマ展</v>
      </c>
      <c r="F199" s="44" t="str">
        <f>配置表!Q198</f>
        <v>○</v>
      </c>
      <c r="G199" s="45">
        <f>配置表!R198</f>
        <v>0</v>
      </c>
      <c r="H199" s="10" t="str">
        <f>配置表!S198</f>
        <v>○</v>
      </c>
      <c r="I199" s="45">
        <f>配置表!T198</f>
        <v>0</v>
      </c>
      <c r="J199" s="10" t="str">
        <f>配置表!U198</f>
        <v>●</v>
      </c>
      <c r="K199" s="32">
        <f>配置表!V198</f>
        <v>0</v>
      </c>
      <c r="L199" s="10" t="str">
        <f>配置表!W198</f>
        <v>◎</v>
      </c>
      <c r="M199" s="32">
        <f>配置表!X198</f>
        <v>0</v>
      </c>
      <c r="N199" s="33" t="str">
        <f>配置表!Y198</f>
        <v>○</v>
      </c>
      <c r="O199" s="32">
        <f>配置表!Z198</f>
        <v>5</v>
      </c>
      <c r="P199" s="33" t="str">
        <f>配置表!AA198</f>
        <v>○</v>
      </c>
      <c r="Q199" s="227">
        <f>配置表!AB198</f>
        <v>0.41666666666666669</v>
      </c>
      <c r="R199" s="227">
        <f>配置表!AC198</f>
        <v>0.70833333333333337</v>
      </c>
      <c r="S199" s="238" t="str">
        <f>配置表!AD198</f>
        <v/>
      </c>
      <c r="T199" s="63"/>
      <c r="U199" s="318"/>
      <c r="V199" s="318"/>
      <c r="W199" s="318"/>
      <c r="X199" s="318"/>
      <c r="Y199" s="318"/>
      <c r="Z199" s="318"/>
      <c r="AA199" s="318"/>
      <c r="AB199" s="318"/>
      <c r="AC199" s="318"/>
    </row>
    <row r="200" spans="1:29" ht="13.5">
      <c r="A200" s="28" t="str">
        <f>配置表!L199</f>
        <v/>
      </c>
      <c r="B200" s="9">
        <f>配置表!M199</f>
        <v>45928</v>
      </c>
      <c r="C200" s="10" t="str">
        <f>配置表!N199</f>
        <v>日</v>
      </c>
      <c r="D200" s="62" t="str">
        <f>配置表!O199</f>
        <v>秋　特別展</v>
      </c>
      <c r="E200" s="67" t="str">
        <f>配置表!P199</f>
        <v>テーマ展</v>
      </c>
      <c r="F200" s="44" t="str">
        <f>配置表!Q199</f>
        <v>○</v>
      </c>
      <c r="G200" s="45">
        <f>配置表!R199</f>
        <v>0</v>
      </c>
      <c r="H200" s="10" t="str">
        <f>配置表!S199</f>
        <v>○</v>
      </c>
      <c r="I200" s="45">
        <f>配置表!T199</f>
        <v>0</v>
      </c>
      <c r="J200" s="10" t="str">
        <f>配置表!U199</f>
        <v>●</v>
      </c>
      <c r="K200" s="32">
        <f>配置表!V199</f>
        <v>0</v>
      </c>
      <c r="L200" s="10" t="str">
        <f>配置表!W199</f>
        <v>◎</v>
      </c>
      <c r="M200" s="32">
        <f>配置表!X199</f>
        <v>0</v>
      </c>
      <c r="N200" s="33" t="str">
        <f>配置表!Y199</f>
        <v>○</v>
      </c>
      <c r="O200" s="32">
        <f>配置表!Z199</f>
        <v>5</v>
      </c>
      <c r="P200" s="33" t="str">
        <f>配置表!AA199</f>
        <v>○</v>
      </c>
      <c r="Q200" s="227">
        <f>配置表!AB199</f>
        <v>0.41666666666666669</v>
      </c>
      <c r="R200" s="227">
        <f>配置表!AC199</f>
        <v>0.70833333333333337</v>
      </c>
      <c r="S200" s="238" t="str">
        <f>配置表!AD199</f>
        <v/>
      </c>
      <c r="T200" s="63"/>
      <c r="U200" s="39"/>
      <c r="V200" s="319"/>
      <c r="W200" s="319"/>
      <c r="X200" s="326"/>
      <c r="Y200" s="321"/>
      <c r="Z200" s="26"/>
      <c r="AA200" s="327"/>
      <c r="AB200" s="323"/>
      <c r="AC200" s="323"/>
    </row>
    <row r="201" spans="1:29" ht="13.5">
      <c r="A201" s="28" t="str">
        <f>配置表!L200</f>
        <v>閉</v>
      </c>
      <c r="B201" s="9">
        <f>配置表!M200</f>
        <v>45929</v>
      </c>
      <c r="C201" s="10" t="str">
        <f>配置表!N200</f>
        <v>月</v>
      </c>
      <c r="D201" s="62" t="str">
        <f>配置表!O200</f>
        <v>秋　特別展</v>
      </c>
      <c r="E201" s="67" t="str">
        <f>配置表!P200</f>
        <v>テーマ展</v>
      </c>
      <c r="F201" s="44" t="str">
        <f>配置表!Q200</f>
        <v>休</v>
      </c>
      <c r="G201" s="45">
        <f>配置表!R200</f>
        <v>0</v>
      </c>
      <c r="H201" s="10" t="str">
        <f>配置表!S200</f>
        <v>休</v>
      </c>
      <c r="I201" s="32">
        <f>配置表!T200</f>
        <v>0</v>
      </c>
      <c r="J201" s="33" t="str">
        <f>配置表!U200</f>
        <v>休</v>
      </c>
      <c r="K201" s="32">
        <f>配置表!V200</f>
        <v>0</v>
      </c>
      <c r="L201" s="33" t="str">
        <f>配置表!W200</f>
        <v>休</v>
      </c>
      <c r="M201" s="32">
        <f>配置表!X200</f>
        <v>0</v>
      </c>
      <c r="N201" s="33" t="str">
        <f>配置表!Y200</f>
        <v>休</v>
      </c>
      <c r="O201" s="32" t="str">
        <f>配置表!Z200</f>
        <v/>
      </c>
      <c r="P201" s="33" t="str">
        <f>配置表!AA200</f>
        <v>休</v>
      </c>
      <c r="Q201" s="227" t="str">
        <f>配置表!AB200</f>
        <v/>
      </c>
      <c r="R201" s="227" t="str">
        <f>配置表!AC200</f>
        <v/>
      </c>
      <c r="S201" s="238" t="str">
        <f>配置表!AD200</f>
        <v/>
      </c>
      <c r="T201" s="63"/>
      <c r="U201" s="39"/>
      <c r="V201" s="319"/>
      <c r="W201" s="319"/>
      <c r="X201" s="326"/>
      <c r="Y201" s="321"/>
      <c r="Z201" s="26"/>
      <c r="AA201" s="327"/>
      <c r="AB201" s="323"/>
      <c r="AC201" s="323"/>
    </row>
    <row r="202" spans="1:29" ht="13.5">
      <c r="A202" s="28" t="str">
        <f>配置表!L201</f>
        <v/>
      </c>
      <c r="B202" s="9">
        <f>配置表!M201</f>
        <v>45930</v>
      </c>
      <c r="C202" s="10" t="str">
        <f>配置表!N201</f>
        <v>火</v>
      </c>
      <c r="D202" s="62" t="str">
        <f>配置表!O201</f>
        <v>秋　特別展</v>
      </c>
      <c r="E202" s="67" t="str">
        <f>配置表!P201</f>
        <v>テーマ展</v>
      </c>
      <c r="F202" s="10" t="str">
        <f>配置表!Q201</f>
        <v>○</v>
      </c>
      <c r="G202" s="45">
        <f>配置表!R201</f>
        <v>0</v>
      </c>
      <c r="H202" s="10" t="str">
        <f>配置表!S201</f>
        <v/>
      </c>
      <c r="I202" s="45">
        <f>配置表!T201</f>
        <v>0</v>
      </c>
      <c r="J202" s="10" t="str">
        <f>配置表!U201</f>
        <v>●</v>
      </c>
      <c r="K202" s="32">
        <f>配置表!V201</f>
        <v>0</v>
      </c>
      <c r="L202" s="33" t="str">
        <f>配置表!W201</f>
        <v>○</v>
      </c>
      <c r="M202" s="32">
        <f>配置表!X201</f>
        <v>0</v>
      </c>
      <c r="N202" s="33" t="str">
        <f>配置表!Y201</f>
        <v>○</v>
      </c>
      <c r="O202" s="32">
        <f>配置表!Z201</f>
        <v>5</v>
      </c>
      <c r="P202" s="33" t="str">
        <f>配置表!AA201</f>
        <v>○</v>
      </c>
      <c r="Q202" s="227">
        <f>配置表!AB201</f>
        <v>0.41666666666666669</v>
      </c>
      <c r="R202" s="227">
        <f>配置表!AC201</f>
        <v>0.70833333333333337</v>
      </c>
      <c r="S202" s="238" t="str">
        <f>配置表!AD201</f>
        <v/>
      </c>
      <c r="T202" s="63"/>
      <c r="U202" s="39"/>
      <c r="V202" s="319"/>
      <c r="W202" s="319"/>
      <c r="X202" s="326"/>
      <c r="Y202" s="321"/>
      <c r="Z202" s="26"/>
      <c r="AA202" s="327"/>
      <c r="AB202" s="323"/>
      <c r="AC202" s="323"/>
    </row>
    <row r="203" spans="1:29" ht="14.25" thickBot="1">
      <c r="A203" s="28"/>
      <c r="B203" s="29"/>
      <c r="C203" s="27"/>
      <c r="D203" s="64"/>
      <c r="E203" s="68"/>
      <c r="F203" s="22"/>
      <c r="G203" s="41"/>
      <c r="H203" s="22"/>
      <c r="I203" s="41"/>
      <c r="J203" s="22"/>
      <c r="K203" s="23"/>
      <c r="L203" s="22"/>
      <c r="M203" s="23"/>
      <c r="N203" s="34"/>
      <c r="O203" s="23"/>
      <c r="P203" s="34"/>
      <c r="Q203" s="239" t="str">
        <f>IF(ISERROR(VLOOKUP(B203,データ!$A$3:$C$19,2,FALSE)),"",VLOOKUP(B203,データ!$A$3:$C$19,2,FALSE))</f>
        <v/>
      </c>
      <c r="R203" s="239"/>
      <c r="S203" s="239"/>
      <c r="T203" s="63"/>
      <c r="U203" s="328"/>
      <c r="V203" s="328"/>
      <c r="W203" s="328"/>
      <c r="X203" s="329"/>
      <c r="Y203" s="330"/>
      <c r="Z203" s="331"/>
      <c r="AA203" s="332"/>
      <c r="AB203" s="333"/>
      <c r="AC203" s="323"/>
    </row>
    <row r="204" spans="1:29" s="18" customFormat="1" ht="12" customHeight="1" thickBot="1">
      <c r="A204" s="28"/>
      <c r="B204" s="57"/>
      <c r="C204" s="50"/>
      <c r="D204" s="50"/>
      <c r="E204" s="50"/>
      <c r="F204" s="24">
        <f>COUNTIF(F173:F203,"○")</f>
        <v>25</v>
      </c>
      <c r="G204" s="10"/>
      <c r="H204" s="10"/>
      <c r="I204" s="10"/>
      <c r="J204" s="10"/>
      <c r="K204" s="8"/>
      <c r="L204" s="10"/>
      <c r="M204" s="8"/>
      <c r="N204" s="10"/>
      <c r="O204" s="8"/>
      <c r="P204" s="10"/>
      <c r="Q204" s="63" t="str">
        <f>IF(ISERROR(VLOOKUP(B204,データ!$A$3:$C$19,2,FALSE)),"",VLOOKUP(B204,データ!$A$3:$C$19,2,FALSE))</f>
        <v/>
      </c>
      <c r="R204" s="63"/>
      <c r="S204" s="63"/>
      <c r="T204" s="63"/>
      <c r="U204" s="1"/>
      <c r="V204" s="2"/>
      <c r="W204" s="2"/>
      <c r="X204" s="1"/>
      <c r="Y204" s="1"/>
      <c r="Z204" s="1"/>
      <c r="AA204" s="1"/>
      <c r="AB204" s="172"/>
      <c r="AC204" s="171"/>
    </row>
    <row r="205" spans="1:29" customFormat="1" ht="27.75" customHeight="1" thickBot="1">
      <c r="A205" s="28"/>
      <c r="B205" s="58"/>
      <c r="C205" s="59"/>
      <c r="D205" s="42" t="s">
        <v>5</v>
      </c>
      <c r="E205" s="42" t="s">
        <v>6</v>
      </c>
      <c r="F205" s="49" t="s">
        <v>8</v>
      </c>
      <c r="G205" s="354" t="s">
        <v>13</v>
      </c>
      <c r="H205" s="355"/>
      <c r="I205" s="354" t="s">
        <v>14</v>
      </c>
      <c r="J205" s="355"/>
      <c r="K205" s="354" t="s">
        <v>9</v>
      </c>
      <c r="L205" s="355"/>
      <c r="M205" s="354" t="s">
        <v>10</v>
      </c>
      <c r="N205" s="355"/>
      <c r="O205" s="354" t="s">
        <v>1</v>
      </c>
      <c r="P205" s="355"/>
      <c r="Q205" s="38" t="s">
        <v>114</v>
      </c>
      <c r="R205" s="38" t="s">
        <v>35</v>
      </c>
      <c r="S205" s="38" t="s">
        <v>116</v>
      </c>
      <c r="T205" s="63"/>
      <c r="U205" s="149" t="s">
        <v>80</v>
      </c>
      <c r="V205" s="156"/>
      <c r="W205" s="156" t="s">
        <v>74</v>
      </c>
      <c r="X205" s="175" t="s">
        <v>60</v>
      </c>
      <c r="Y205" s="175" t="s">
        <v>70</v>
      </c>
      <c r="Z205" s="150" t="s">
        <v>71</v>
      </c>
      <c r="AA205" s="150" t="s">
        <v>61</v>
      </c>
      <c r="AB205" s="150" t="s">
        <v>62</v>
      </c>
      <c r="AC205" s="151" t="s">
        <v>63</v>
      </c>
    </row>
    <row r="206" spans="1:29" ht="13.5">
      <c r="A206" s="28" t="str">
        <f>配置表!L205</f>
        <v/>
      </c>
      <c r="B206" s="25">
        <f>配置表!M205</f>
        <v>45931</v>
      </c>
      <c r="C206" s="24" t="str">
        <f>配置表!N205</f>
        <v>水</v>
      </c>
      <c r="D206" s="70" t="str">
        <f>配置表!O205</f>
        <v>秋　特別展</v>
      </c>
      <c r="E206" s="70" t="str">
        <f>配置表!P205</f>
        <v>テーマ展</v>
      </c>
      <c r="F206" s="44" t="str">
        <f>配置表!Q205</f>
        <v>○</v>
      </c>
      <c r="G206" s="24">
        <f>配置表!R205</f>
        <v>0</v>
      </c>
      <c r="H206" s="24" t="str">
        <f>配置表!S205</f>
        <v/>
      </c>
      <c r="I206" s="46">
        <f>配置表!T205</f>
        <v>0</v>
      </c>
      <c r="J206" s="24" t="str">
        <f>配置表!U205</f>
        <v>●</v>
      </c>
      <c r="K206" s="35">
        <f>配置表!V205</f>
        <v>0</v>
      </c>
      <c r="L206" s="33" t="str">
        <f>配置表!W205</f>
        <v>○</v>
      </c>
      <c r="M206" s="35">
        <f>配置表!X205</f>
        <v>0</v>
      </c>
      <c r="N206" s="47" t="str">
        <f>配置表!Y205</f>
        <v>○</v>
      </c>
      <c r="O206" s="35">
        <f>配置表!Z205</f>
        <v>5</v>
      </c>
      <c r="P206" s="47" t="str">
        <f>配置表!AA205</f>
        <v>○</v>
      </c>
      <c r="Q206" s="232">
        <f>配置表!AB205</f>
        <v>0.41666666666666669</v>
      </c>
      <c r="R206" s="232">
        <f>配置表!AC205</f>
        <v>0.70833333333333337</v>
      </c>
      <c r="S206" s="237" t="str">
        <f>配置表!AD205</f>
        <v/>
      </c>
      <c r="T206" s="63"/>
      <c r="U206" s="173" t="s">
        <v>88</v>
      </c>
      <c r="V206" s="156"/>
      <c r="W206" s="156"/>
      <c r="X206" s="176"/>
      <c r="Y206" s="177"/>
      <c r="Z206" s="181">
        <f>COUNTIF(F206:F236,V206)</f>
        <v>0</v>
      </c>
      <c r="AA206" s="174">
        <f>X206*Y206*Z206</f>
        <v>0</v>
      </c>
      <c r="AB206" s="181"/>
      <c r="AC206" s="315">
        <f>SUM(AA206*AB206)</f>
        <v>0</v>
      </c>
    </row>
    <row r="207" spans="1:29" ht="13.5">
      <c r="A207" s="28" t="str">
        <f>配置表!L206</f>
        <v/>
      </c>
      <c r="B207" s="9">
        <f>配置表!M206</f>
        <v>45932</v>
      </c>
      <c r="C207" s="10" t="str">
        <f>配置表!N206</f>
        <v>木</v>
      </c>
      <c r="D207" s="63" t="str">
        <f>配置表!O206</f>
        <v>秋　特別展</v>
      </c>
      <c r="E207" s="63" t="str">
        <f>配置表!P206</f>
        <v>テーマ展</v>
      </c>
      <c r="F207" s="44" t="str">
        <f>配置表!Q206</f>
        <v>○</v>
      </c>
      <c r="G207" s="10">
        <f>配置表!R206</f>
        <v>0</v>
      </c>
      <c r="H207" s="10" t="str">
        <f>配置表!S206</f>
        <v/>
      </c>
      <c r="I207" s="45">
        <f>配置表!T206</f>
        <v>0</v>
      </c>
      <c r="J207" s="10" t="str">
        <f>配置表!U206</f>
        <v>●</v>
      </c>
      <c r="K207" s="32">
        <f>配置表!V206</f>
        <v>0</v>
      </c>
      <c r="L207" s="33" t="str">
        <f>配置表!W206</f>
        <v>○</v>
      </c>
      <c r="M207" s="32">
        <f>配置表!X206</f>
        <v>0</v>
      </c>
      <c r="N207" s="33" t="str">
        <f>配置表!Y206</f>
        <v>○</v>
      </c>
      <c r="O207" s="32">
        <f>配置表!Z206</f>
        <v>5</v>
      </c>
      <c r="P207" s="33" t="str">
        <f>配置表!AA206</f>
        <v>○</v>
      </c>
      <c r="Q207" s="227">
        <f>配置表!AB206</f>
        <v>0.41666666666666669</v>
      </c>
      <c r="R207" s="227">
        <f>配置表!AC206</f>
        <v>0.70833333333333337</v>
      </c>
      <c r="S207" s="238" t="str">
        <f>配置表!AD206</f>
        <v/>
      </c>
      <c r="T207" s="63"/>
      <c r="U207" s="152" t="s">
        <v>88</v>
      </c>
      <c r="V207" s="155" t="s">
        <v>66</v>
      </c>
      <c r="W207" s="274" t="s">
        <v>126</v>
      </c>
      <c r="X207" s="275">
        <v>8.5</v>
      </c>
      <c r="Y207" s="158">
        <v>1</v>
      </c>
      <c r="Z207" s="182">
        <f>COUNTIF(F206:F236,V207)</f>
        <v>27</v>
      </c>
      <c r="AA207" s="154">
        <f t="shared" ref="AA207:AA222" si="12">X207*Y207*Z207</f>
        <v>229.5</v>
      </c>
      <c r="AB207" s="182">
        <f>AB$9</f>
        <v>0</v>
      </c>
      <c r="AC207" s="183">
        <f t="shared" ref="AC207:AC222" si="13">SUM(AA207*AB207)</f>
        <v>0</v>
      </c>
    </row>
    <row r="208" spans="1:29" ht="13.5">
      <c r="A208" s="28" t="str">
        <f>配置表!L207</f>
        <v/>
      </c>
      <c r="B208" s="9">
        <f>配置表!M207</f>
        <v>45933</v>
      </c>
      <c r="C208" s="10" t="str">
        <f>配置表!N207</f>
        <v>金</v>
      </c>
      <c r="D208" s="63" t="str">
        <f>配置表!O207</f>
        <v>秋　特別展</v>
      </c>
      <c r="E208" s="63" t="str">
        <f>配置表!P207</f>
        <v>テーマ展</v>
      </c>
      <c r="F208" s="44" t="str">
        <f>配置表!Q207</f>
        <v>○</v>
      </c>
      <c r="G208" s="10">
        <f>配置表!R207</f>
        <v>0</v>
      </c>
      <c r="H208" s="10" t="str">
        <f>配置表!S207</f>
        <v/>
      </c>
      <c r="I208" s="45">
        <f>配置表!T207</f>
        <v>0</v>
      </c>
      <c r="J208" s="10" t="str">
        <f>配置表!U207</f>
        <v>●</v>
      </c>
      <c r="K208" s="32">
        <f>配置表!V207</f>
        <v>0</v>
      </c>
      <c r="L208" s="33" t="str">
        <f>配置表!W207</f>
        <v>○</v>
      </c>
      <c r="M208" s="32">
        <f>配置表!X207</f>
        <v>0</v>
      </c>
      <c r="N208" s="33" t="str">
        <f>配置表!Y207</f>
        <v>○</v>
      </c>
      <c r="O208" s="32">
        <f>配置表!Z207</f>
        <v>5</v>
      </c>
      <c r="P208" s="33" t="str">
        <f>配置表!AA207</f>
        <v>○</v>
      </c>
      <c r="Q208" s="227">
        <f>配置表!AB207</f>
        <v>0.41666666666666669</v>
      </c>
      <c r="R208" s="227">
        <f>配置表!AC207</f>
        <v>0.70833333333333337</v>
      </c>
      <c r="S208" s="238" t="str">
        <f>配置表!AD207</f>
        <v/>
      </c>
      <c r="T208" s="63"/>
      <c r="U208" s="152" t="s">
        <v>89</v>
      </c>
      <c r="V208" s="155" t="s">
        <v>66</v>
      </c>
      <c r="W208" s="155" t="s">
        <v>141</v>
      </c>
      <c r="X208" s="191">
        <v>5.25</v>
      </c>
      <c r="Y208" s="158">
        <v>1</v>
      </c>
      <c r="Z208" s="182">
        <f>COUNTIF(H206:H236,V208)</f>
        <v>9</v>
      </c>
      <c r="AA208" s="154">
        <f t="shared" si="12"/>
        <v>47.25</v>
      </c>
      <c r="AB208" s="182">
        <f>AB$10</f>
        <v>0</v>
      </c>
      <c r="AC208" s="183">
        <f t="shared" si="13"/>
        <v>0</v>
      </c>
    </row>
    <row r="209" spans="1:30" ht="13.5">
      <c r="A209" s="28" t="str">
        <f>配置表!L208</f>
        <v/>
      </c>
      <c r="B209" s="9">
        <f>配置表!M208</f>
        <v>45934</v>
      </c>
      <c r="C209" s="10" t="str">
        <f>配置表!N208</f>
        <v>土</v>
      </c>
      <c r="D209" s="63" t="str">
        <f>配置表!O208</f>
        <v>秋　特別展</v>
      </c>
      <c r="E209" s="63" t="str">
        <f>配置表!P208</f>
        <v>テーマ展</v>
      </c>
      <c r="F209" s="44" t="str">
        <f>配置表!Q208</f>
        <v>○</v>
      </c>
      <c r="G209" s="10">
        <f>配置表!R208</f>
        <v>0</v>
      </c>
      <c r="H209" s="10" t="str">
        <f>配置表!S208</f>
        <v>○</v>
      </c>
      <c r="I209" s="45">
        <f>配置表!T208</f>
        <v>0</v>
      </c>
      <c r="J209" s="10" t="str">
        <f>配置表!U208</f>
        <v>●</v>
      </c>
      <c r="K209" s="32">
        <f>配置表!V208</f>
        <v>0</v>
      </c>
      <c r="L209" s="33" t="str">
        <f>配置表!W208</f>
        <v>◎</v>
      </c>
      <c r="M209" s="32">
        <f>配置表!X208</f>
        <v>0</v>
      </c>
      <c r="N209" s="33" t="str">
        <f>配置表!Y208</f>
        <v>○</v>
      </c>
      <c r="O209" s="32">
        <f>配置表!Z208</f>
        <v>5</v>
      </c>
      <c r="P209" s="33" t="str">
        <f>配置表!AA208</f>
        <v>○</v>
      </c>
      <c r="Q209" s="227">
        <f>配置表!AB208</f>
        <v>0.41666666666666669</v>
      </c>
      <c r="R209" s="227">
        <f>配置表!AC208</f>
        <v>0.70833333333333337</v>
      </c>
      <c r="S209" s="238" t="str">
        <f>配置表!AD208</f>
        <v/>
      </c>
      <c r="T209" s="63"/>
      <c r="U209" s="152"/>
      <c r="V209" s="155"/>
      <c r="W209" s="155"/>
      <c r="X209" s="153"/>
      <c r="Y209" s="158"/>
      <c r="Z209" s="182">
        <f>COUNTIF(H206:H236,V209)</f>
        <v>0</v>
      </c>
      <c r="AA209" s="154">
        <f t="shared" si="12"/>
        <v>0</v>
      </c>
      <c r="AB209" s="182"/>
      <c r="AC209" s="183">
        <f t="shared" si="13"/>
        <v>0</v>
      </c>
    </row>
    <row r="210" spans="1:30" ht="13.5">
      <c r="A210" s="28" t="str">
        <f>配置表!L209</f>
        <v/>
      </c>
      <c r="B210" s="9">
        <f>配置表!M209</f>
        <v>45935</v>
      </c>
      <c r="C210" s="10" t="str">
        <f>配置表!N209</f>
        <v>日</v>
      </c>
      <c r="D210" s="63" t="str">
        <f>配置表!O209</f>
        <v>秋　特別展</v>
      </c>
      <c r="E210" s="63" t="str">
        <f>配置表!P209</f>
        <v>テーマ展</v>
      </c>
      <c r="F210" s="44" t="str">
        <f>配置表!Q209</f>
        <v>○</v>
      </c>
      <c r="G210" s="10">
        <f>配置表!R209</f>
        <v>0</v>
      </c>
      <c r="H210" s="10" t="str">
        <f>配置表!S209</f>
        <v>○</v>
      </c>
      <c r="I210" s="45">
        <f>配置表!T209</f>
        <v>0</v>
      </c>
      <c r="J210" s="10" t="str">
        <f>配置表!U209</f>
        <v>●</v>
      </c>
      <c r="K210" s="32">
        <f>配置表!V209</f>
        <v>0</v>
      </c>
      <c r="L210" s="33" t="str">
        <f>配置表!W209</f>
        <v>◎</v>
      </c>
      <c r="M210" s="32">
        <f>配置表!X209</f>
        <v>0</v>
      </c>
      <c r="N210" s="33" t="str">
        <f>配置表!Y209</f>
        <v>○</v>
      </c>
      <c r="O210" s="32">
        <f>配置表!Z209</f>
        <v>5</v>
      </c>
      <c r="P210" s="33" t="str">
        <f>配置表!AA209</f>
        <v>○</v>
      </c>
      <c r="Q210" s="227">
        <f>配置表!AB209</f>
        <v>0.41666666666666669</v>
      </c>
      <c r="R210" s="227">
        <f>配置表!AC209</f>
        <v>0.70833333333333337</v>
      </c>
      <c r="S210" s="238" t="str">
        <f>配置表!AD209</f>
        <v/>
      </c>
      <c r="T210" s="63"/>
      <c r="U210" s="152"/>
      <c r="V210" s="155"/>
      <c r="W210" s="155"/>
      <c r="X210" s="153"/>
      <c r="Y210" s="158"/>
      <c r="Z210" s="182">
        <f>COUNTIF(H206:H236,V210)</f>
        <v>0</v>
      </c>
      <c r="AA210" s="154">
        <f t="shared" si="12"/>
        <v>0</v>
      </c>
      <c r="AB210" s="182"/>
      <c r="AC210" s="183">
        <f t="shared" si="13"/>
        <v>0</v>
      </c>
    </row>
    <row r="211" spans="1:30" ht="13.5">
      <c r="A211" s="28" t="str">
        <f>配置表!L210</f>
        <v>閉</v>
      </c>
      <c r="B211" s="9">
        <f>配置表!M210</f>
        <v>45936</v>
      </c>
      <c r="C211" s="10" t="str">
        <f>配置表!N210</f>
        <v>月</v>
      </c>
      <c r="D211" s="63" t="str">
        <f>配置表!O210</f>
        <v>秋　特別展</v>
      </c>
      <c r="E211" s="63" t="str">
        <f>配置表!P210</f>
        <v>テーマ展</v>
      </c>
      <c r="F211" s="44" t="str">
        <f>配置表!Q210</f>
        <v>休</v>
      </c>
      <c r="G211" s="32">
        <f>配置表!R210</f>
        <v>0</v>
      </c>
      <c r="H211" s="10" t="str">
        <f>配置表!S210</f>
        <v>休</v>
      </c>
      <c r="I211" s="32">
        <f>配置表!T210</f>
        <v>0</v>
      </c>
      <c r="J211" s="33" t="str">
        <f>配置表!U210</f>
        <v>休</v>
      </c>
      <c r="K211" s="32">
        <f>配置表!V210</f>
        <v>0</v>
      </c>
      <c r="L211" s="33" t="str">
        <f>配置表!W210</f>
        <v>休</v>
      </c>
      <c r="M211" s="32">
        <f>配置表!X210</f>
        <v>0</v>
      </c>
      <c r="N211" s="33" t="str">
        <f>配置表!Y210</f>
        <v>休</v>
      </c>
      <c r="O211" s="32" t="str">
        <f>配置表!Z210</f>
        <v/>
      </c>
      <c r="P211" s="33" t="str">
        <f>配置表!AA210</f>
        <v>休</v>
      </c>
      <c r="Q211" s="227" t="str">
        <f>配置表!AB210</f>
        <v/>
      </c>
      <c r="R211" s="227" t="str">
        <f>配置表!AC210</f>
        <v/>
      </c>
      <c r="S211" s="238" t="str">
        <f>配置表!AD210</f>
        <v/>
      </c>
      <c r="T211" s="63"/>
      <c r="U211" s="152" t="s">
        <v>90</v>
      </c>
      <c r="V211" s="155" t="s">
        <v>46</v>
      </c>
      <c r="W211" s="155" t="s">
        <v>142</v>
      </c>
      <c r="X211" s="191">
        <v>6.75</v>
      </c>
      <c r="Y211" s="158">
        <v>1</v>
      </c>
      <c r="Z211" s="182">
        <f>COUNTIF(J206:J236,V211)</f>
        <v>27</v>
      </c>
      <c r="AA211" s="154">
        <f t="shared" si="12"/>
        <v>182.25</v>
      </c>
      <c r="AB211" s="182">
        <f>AB$13</f>
        <v>0</v>
      </c>
      <c r="AC211" s="183">
        <f t="shared" si="13"/>
        <v>0</v>
      </c>
    </row>
    <row r="212" spans="1:30" ht="13.5">
      <c r="A212" s="28" t="str">
        <f>配置表!L211</f>
        <v/>
      </c>
      <c r="B212" s="9">
        <f>配置表!M211</f>
        <v>45937</v>
      </c>
      <c r="C212" s="10" t="str">
        <f>配置表!N211</f>
        <v>火</v>
      </c>
      <c r="D212" s="63" t="str">
        <f>配置表!O211</f>
        <v>秋　特別展</v>
      </c>
      <c r="E212" s="63" t="str">
        <f>配置表!P211</f>
        <v>テーマ展</v>
      </c>
      <c r="F212" s="44" t="str">
        <f>配置表!Q211</f>
        <v>○</v>
      </c>
      <c r="G212" s="10">
        <f>配置表!R211</f>
        <v>0</v>
      </c>
      <c r="H212" s="10" t="str">
        <f>配置表!S211</f>
        <v/>
      </c>
      <c r="I212" s="45">
        <f>配置表!T211</f>
        <v>0</v>
      </c>
      <c r="J212" s="10" t="str">
        <f>配置表!U211</f>
        <v>●</v>
      </c>
      <c r="K212" s="32">
        <f>配置表!V211</f>
        <v>0</v>
      </c>
      <c r="L212" s="33" t="str">
        <f>配置表!W211</f>
        <v>○</v>
      </c>
      <c r="M212" s="32">
        <f>配置表!X211</f>
        <v>0</v>
      </c>
      <c r="N212" s="33" t="str">
        <f>配置表!Y211</f>
        <v>○</v>
      </c>
      <c r="O212" s="32">
        <f>配置表!Z211</f>
        <v>5</v>
      </c>
      <c r="P212" s="33" t="str">
        <f>配置表!AA211</f>
        <v>○</v>
      </c>
      <c r="Q212" s="227">
        <f>配置表!AB211</f>
        <v>0.41666666666666669</v>
      </c>
      <c r="R212" s="227">
        <f>配置表!AC211</f>
        <v>0.70833333333333337</v>
      </c>
      <c r="S212" s="238" t="str">
        <f>配置表!AD211</f>
        <v/>
      </c>
      <c r="T212" s="63"/>
      <c r="U212" s="152"/>
      <c r="V212" s="155"/>
      <c r="W212" s="155"/>
      <c r="X212" s="153"/>
      <c r="Y212" s="158"/>
      <c r="Z212" s="182">
        <f>COUNTIF(J206:J236,V212)</f>
        <v>0</v>
      </c>
      <c r="AA212" s="154">
        <f t="shared" si="12"/>
        <v>0</v>
      </c>
      <c r="AB212" s="182"/>
      <c r="AC212" s="183">
        <f t="shared" si="13"/>
        <v>0</v>
      </c>
    </row>
    <row r="213" spans="1:30" ht="13.5">
      <c r="A213" s="28" t="str">
        <f>配置表!L212</f>
        <v/>
      </c>
      <c r="B213" s="9">
        <f>配置表!M212</f>
        <v>45938</v>
      </c>
      <c r="C213" s="10" t="str">
        <f>配置表!N212</f>
        <v>水</v>
      </c>
      <c r="D213" s="63" t="str">
        <f>配置表!O212</f>
        <v>秋　特別展</v>
      </c>
      <c r="E213" s="63" t="str">
        <f>配置表!P212</f>
        <v>テーマ展</v>
      </c>
      <c r="F213" s="44" t="str">
        <f>配置表!Q212</f>
        <v>○</v>
      </c>
      <c r="G213" s="10">
        <f>配置表!R212</f>
        <v>0</v>
      </c>
      <c r="H213" s="10" t="str">
        <f>配置表!S212</f>
        <v/>
      </c>
      <c r="I213" s="45">
        <f>配置表!T212</f>
        <v>0</v>
      </c>
      <c r="J213" s="10" t="str">
        <f>配置表!U212</f>
        <v>●</v>
      </c>
      <c r="K213" s="32">
        <f>配置表!V212</f>
        <v>0</v>
      </c>
      <c r="L213" s="33" t="str">
        <f>配置表!W212</f>
        <v>○</v>
      </c>
      <c r="M213" s="32">
        <f>配置表!X212</f>
        <v>0</v>
      </c>
      <c r="N213" s="33" t="str">
        <f>配置表!Y212</f>
        <v>○</v>
      </c>
      <c r="O213" s="32">
        <f>配置表!Z212</f>
        <v>5</v>
      </c>
      <c r="P213" s="33" t="str">
        <f>配置表!AA212</f>
        <v>○</v>
      </c>
      <c r="Q213" s="227">
        <f>配置表!AB212</f>
        <v>0.41666666666666669</v>
      </c>
      <c r="R213" s="227">
        <f>配置表!AC212</f>
        <v>0.70833333333333337</v>
      </c>
      <c r="S213" s="238" t="str">
        <f>配置表!AD212</f>
        <v/>
      </c>
      <c r="T213" s="63"/>
      <c r="U213" s="152" t="s">
        <v>91</v>
      </c>
      <c r="V213" s="155" t="s">
        <v>66</v>
      </c>
      <c r="W213" s="155" t="s">
        <v>141</v>
      </c>
      <c r="X213" s="191">
        <v>5.25</v>
      </c>
      <c r="Y213" s="158">
        <v>1</v>
      </c>
      <c r="Z213" s="186">
        <f>COUNTIF(L206:L236,V213)</f>
        <v>18</v>
      </c>
      <c r="AA213" s="154">
        <f t="shared" si="12"/>
        <v>94.5</v>
      </c>
      <c r="AB213" s="182">
        <f>AB$15</f>
        <v>0</v>
      </c>
      <c r="AC213" s="183">
        <f t="shared" si="13"/>
        <v>0</v>
      </c>
    </row>
    <row r="214" spans="1:30" ht="13.5">
      <c r="A214" s="28" t="str">
        <f>配置表!L213</f>
        <v/>
      </c>
      <c r="B214" s="9">
        <f>配置表!M213</f>
        <v>45939</v>
      </c>
      <c r="C214" s="10" t="str">
        <f>配置表!N213</f>
        <v>木</v>
      </c>
      <c r="D214" s="63" t="str">
        <f>配置表!O213</f>
        <v>秋　特別展</v>
      </c>
      <c r="E214" s="63" t="str">
        <f>配置表!P213</f>
        <v>テーマ展</v>
      </c>
      <c r="F214" s="44" t="str">
        <f>配置表!Q213</f>
        <v>○</v>
      </c>
      <c r="G214" s="10">
        <f>配置表!R213</f>
        <v>0</v>
      </c>
      <c r="H214" s="10" t="str">
        <f>配置表!S213</f>
        <v/>
      </c>
      <c r="I214" s="45">
        <f>配置表!T213</f>
        <v>0</v>
      </c>
      <c r="J214" s="10" t="str">
        <f>配置表!U213</f>
        <v>●</v>
      </c>
      <c r="K214" s="32">
        <f>配置表!V213</f>
        <v>0</v>
      </c>
      <c r="L214" s="33" t="str">
        <f>配置表!W213</f>
        <v>○</v>
      </c>
      <c r="M214" s="32">
        <f>配置表!X213</f>
        <v>0</v>
      </c>
      <c r="N214" s="33" t="str">
        <f>配置表!Y213</f>
        <v>○</v>
      </c>
      <c r="O214" s="32">
        <f>配置表!Z213</f>
        <v>5</v>
      </c>
      <c r="P214" s="33" t="str">
        <f>配置表!AA213</f>
        <v>○</v>
      </c>
      <c r="Q214" s="227">
        <f>配置表!AB213</f>
        <v>0.41666666666666669</v>
      </c>
      <c r="R214" s="227">
        <f>配置表!AC213</f>
        <v>0.70833333333333337</v>
      </c>
      <c r="S214" s="238" t="str">
        <f>配置表!AD213</f>
        <v/>
      </c>
      <c r="T214" s="63"/>
      <c r="U214" s="152" t="s">
        <v>18</v>
      </c>
      <c r="V214" s="155" t="s">
        <v>15</v>
      </c>
      <c r="W214" s="155" t="s">
        <v>153</v>
      </c>
      <c r="X214" s="153">
        <v>5</v>
      </c>
      <c r="Y214" s="158">
        <v>1</v>
      </c>
      <c r="Z214" s="186">
        <f>COUNTIF(L206:L236,V214)</f>
        <v>9</v>
      </c>
      <c r="AA214" s="154">
        <f t="shared" si="12"/>
        <v>45</v>
      </c>
      <c r="AB214" s="182">
        <f>AB$16</f>
        <v>0</v>
      </c>
      <c r="AC214" s="183">
        <f t="shared" si="13"/>
        <v>0</v>
      </c>
    </row>
    <row r="215" spans="1:30" ht="13.5">
      <c r="A215" s="28" t="str">
        <f>配置表!L214</f>
        <v/>
      </c>
      <c r="B215" s="9">
        <f>配置表!M214</f>
        <v>45940</v>
      </c>
      <c r="C215" s="10" t="str">
        <f>配置表!N214</f>
        <v>金</v>
      </c>
      <c r="D215" s="63" t="str">
        <f>配置表!O214</f>
        <v>秋　特別展</v>
      </c>
      <c r="E215" s="63" t="str">
        <f>配置表!P214</f>
        <v>テーマ展</v>
      </c>
      <c r="F215" s="44" t="str">
        <f>配置表!Q214</f>
        <v>○</v>
      </c>
      <c r="G215" s="10">
        <f>配置表!R214</f>
        <v>0</v>
      </c>
      <c r="H215" s="10" t="str">
        <f>配置表!S214</f>
        <v/>
      </c>
      <c r="I215" s="45">
        <f>配置表!T214</f>
        <v>0</v>
      </c>
      <c r="J215" s="10" t="str">
        <f>配置表!U214</f>
        <v>●</v>
      </c>
      <c r="K215" s="32">
        <f>配置表!V214</f>
        <v>0</v>
      </c>
      <c r="L215" s="33" t="str">
        <f>配置表!W214</f>
        <v>○</v>
      </c>
      <c r="M215" s="32">
        <f>配置表!X214</f>
        <v>0</v>
      </c>
      <c r="N215" s="33" t="str">
        <f>配置表!Y214</f>
        <v>○</v>
      </c>
      <c r="O215" s="32">
        <f>配置表!Z214</f>
        <v>5</v>
      </c>
      <c r="P215" s="33" t="str">
        <f>配置表!AA214</f>
        <v>○</v>
      </c>
      <c r="Q215" s="227">
        <f>配置表!AB214</f>
        <v>0.41666666666666669</v>
      </c>
      <c r="R215" s="227">
        <f>配置表!AC214</f>
        <v>0.70833333333333337</v>
      </c>
      <c r="S215" s="238" t="str">
        <f>配置表!AD214</f>
        <v/>
      </c>
      <c r="T215" s="63"/>
      <c r="U215" s="152"/>
      <c r="V215" s="155"/>
      <c r="W215" s="155"/>
      <c r="X215" s="153"/>
      <c r="Y215" s="158"/>
      <c r="Z215" s="186">
        <f>COUNTIF(N206:N236,V215)</f>
        <v>0</v>
      </c>
      <c r="AA215" s="154">
        <f t="shared" si="12"/>
        <v>0</v>
      </c>
      <c r="AB215" s="182"/>
      <c r="AC215" s="183">
        <f t="shared" si="13"/>
        <v>0</v>
      </c>
    </row>
    <row r="216" spans="1:30" ht="13.5">
      <c r="A216" s="28" t="str">
        <f>配置表!L215</f>
        <v/>
      </c>
      <c r="B216" s="9">
        <f>配置表!M215</f>
        <v>45941</v>
      </c>
      <c r="C216" s="10" t="str">
        <f>配置表!N215</f>
        <v>土</v>
      </c>
      <c r="D216" s="63" t="str">
        <f>配置表!O215</f>
        <v>秋　特別展</v>
      </c>
      <c r="E216" s="63" t="str">
        <f>配置表!P215</f>
        <v>テーマ展</v>
      </c>
      <c r="F216" s="44" t="str">
        <f>配置表!Q215</f>
        <v>○</v>
      </c>
      <c r="G216" s="10">
        <f>配置表!R215</f>
        <v>0</v>
      </c>
      <c r="H216" s="10" t="str">
        <f>配置表!S215</f>
        <v>○</v>
      </c>
      <c r="I216" s="45">
        <f>配置表!T215</f>
        <v>0</v>
      </c>
      <c r="J216" s="10" t="str">
        <f>配置表!U215</f>
        <v>●</v>
      </c>
      <c r="K216" s="32">
        <f>配置表!V215</f>
        <v>0</v>
      </c>
      <c r="L216" s="33" t="str">
        <f>配置表!W215</f>
        <v>◎</v>
      </c>
      <c r="M216" s="32">
        <f>配置表!X215</f>
        <v>0</v>
      </c>
      <c r="N216" s="33" t="str">
        <f>配置表!Y215</f>
        <v>○</v>
      </c>
      <c r="O216" s="32">
        <f>配置表!Z215</f>
        <v>5</v>
      </c>
      <c r="P216" s="33" t="str">
        <f>配置表!AA215</f>
        <v>○</v>
      </c>
      <c r="Q216" s="227">
        <f>配置表!AB215</f>
        <v>0.41666666666666669</v>
      </c>
      <c r="R216" s="227">
        <f>配置表!AC215</f>
        <v>0.70833333333333337</v>
      </c>
      <c r="S216" s="238" t="str">
        <f>配置表!AD215</f>
        <v/>
      </c>
      <c r="T216" s="63"/>
      <c r="U216" s="152"/>
      <c r="V216" s="155"/>
      <c r="W216" s="274"/>
      <c r="X216" s="275"/>
      <c r="Y216" s="158"/>
      <c r="Z216" s="186">
        <f>COUNTIF(N206:N236,V216)</f>
        <v>0</v>
      </c>
      <c r="AA216" s="154">
        <f t="shared" si="12"/>
        <v>0</v>
      </c>
      <c r="AB216" s="182"/>
      <c r="AC216" s="183">
        <f t="shared" si="13"/>
        <v>0</v>
      </c>
    </row>
    <row r="217" spans="1:30" ht="13.5">
      <c r="A217" s="28" t="str">
        <f>配置表!L216</f>
        <v/>
      </c>
      <c r="B217" s="9">
        <f>配置表!M216</f>
        <v>45942</v>
      </c>
      <c r="C217" s="10" t="str">
        <f>配置表!N216</f>
        <v>日</v>
      </c>
      <c r="D217" s="63" t="str">
        <f>配置表!O216</f>
        <v>秋　特別展</v>
      </c>
      <c r="E217" s="63" t="str">
        <f>配置表!P216</f>
        <v>テーマ展</v>
      </c>
      <c r="F217" s="44" t="str">
        <f>配置表!Q216</f>
        <v>○</v>
      </c>
      <c r="G217" s="10">
        <f>配置表!R216</f>
        <v>0</v>
      </c>
      <c r="H217" s="10" t="str">
        <f>配置表!S216</f>
        <v>○</v>
      </c>
      <c r="I217" s="45">
        <f>配置表!T216</f>
        <v>0</v>
      </c>
      <c r="J217" s="10" t="str">
        <f>配置表!U216</f>
        <v>●</v>
      </c>
      <c r="K217" s="32">
        <f>配置表!V216</f>
        <v>0</v>
      </c>
      <c r="L217" s="33" t="str">
        <f>配置表!W216</f>
        <v>◎</v>
      </c>
      <c r="M217" s="32">
        <f>配置表!X216</f>
        <v>0</v>
      </c>
      <c r="N217" s="33" t="str">
        <f>配置表!Y216</f>
        <v>○</v>
      </c>
      <c r="O217" s="32">
        <f>配置表!Z216</f>
        <v>5</v>
      </c>
      <c r="P217" s="33" t="str">
        <f>配置表!AA216</f>
        <v>○</v>
      </c>
      <c r="Q217" s="227">
        <f>配置表!AB216</f>
        <v>0.41666666666666669</v>
      </c>
      <c r="R217" s="227">
        <f>配置表!AC216</f>
        <v>0.70833333333333337</v>
      </c>
      <c r="S217" s="238" t="str">
        <f>配置表!AD216</f>
        <v/>
      </c>
      <c r="T217" s="63"/>
      <c r="U217" s="152" t="s">
        <v>19</v>
      </c>
      <c r="V217" s="155" t="s">
        <v>66</v>
      </c>
      <c r="W217" s="274" t="s">
        <v>127</v>
      </c>
      <c r="X217" s="275">
        <v>7.5</v>
      </c>
      <c r="Y217" s="158">
        <v>1</v>
      </c>
      <c r="Z217" s="186">
        <f>COUNTIF(N206:N236,V217)</f>
        <v>27</v>
      </c>
      <c r="AA217" s="154">
        <f t="shared" si="12"/>
        <v>202.5</v>
      </c>
      <c r="AB217" s="182">
        <f>AB$19</f>
        <v>0</v>
      </c>
      <c r="AC217" s="183">
        <f t="shared" si="13"/>
        <v>0</v>
      </c>
    </row>
    <row r="218" spans="1:30" ht="13.5">
      <c r="A218" s="28" t="str">
        <f>配置表!L217</f>
        <v/>
      </c>
      <c r="B218" s="9">
        <f>配置表!M217</f>
        <v>45943</v>
      </c>
      <c r="C218" s="10" t="str">
        <f>配置表!N217</f>
        <v>月</v>
      </c>
      <c r="D218" s="63" t="str">
        <f>配置表!O217</f>
        <v>秋　特別展</v>
      </c>
      <c r="E218" s="63" t="str">
        <f>配置表!P217</f>
        <v>テーマ展</v>
      </c>
      <c r="F218" s="44" t="str">
        <f>配置表!Q217</f>
        <v>○</v>
      </c>
      <c r="G218" s="10">
        <f>配置表!R217</f>
        <v>0</v>
      </c>
      <c r="H218" s="10" t="str">
        <f>配置表!S217</f>
        <v>○</v>
      </c>
      <c r="I218" s="45">
        <f>配置表!T217</f>
        <v>0</v>
      </c>
      <c r="J218" s="10" t="str">
        <f>配置表!U217</f>
        <v>●</v>
      </c>
      <c r="K218" s="32">
        <f>配置表!V217</f>
        <v>0</v>
      </c>
      <c r="L218" s="33" t="str">
        <f>配置表!W217</f>
        <v>◎</v>
      </c>
      <c r="M218" s="32">
        <f>配置表!X217</f>
        <v>0</v>
      </c>
      <c r="N218" s="33" t="str">
        <f>配置表!Y217</f>
        <v>○</v>
      </c>
      <c r="O218" s="32">
        <f>配置表!Z217</f>
        <v>5</v>
      </c>
      <c r="P218" s="33" t="str">
        <f>配置表!AA217</f>
        <v>○</v>
      </c>
      <c r="Q218" s="227">
        <f>配置表!AB217</f>
        <v>0.41666666666666669</v>
      </c>
      <c r="R218" s="227">
        <f>配置表!AC217</f>
        <v>0.70833333333333337</v>
      </c>
      <c r="S218" s="238" t="str">
        <f>配置表!AD217</f>
        <v>スポーツの日</v>
      </c>
      <c r="T218" s="63"/>
      <c r="U218" s="152"/>
      <c r="V218" s="155"/>
      <c r="W218" s="155"/>
      <c r="X218" s="153"/>
      <c r="Y218" s="158"/>
      <c r="Z218" s="186">
        <f>COUNTIF(P206:P236,V218)</f>
        <v>0</v>
      </c>
      <c r="AA218" s="154">
        <f t="shared" si="12"/>
        <v>0</v>
      </c>
      <c r="AB218" s="182"/>
      <c r="AC218" s="183">
        <f t="shared" si="13"/>
        <v>0</v>
      </c>
    </row>
    <row r="219" spans="1:30" ht="13.5">
      <c r="A219" s="28" t="str">
        <f>配置表!L218</f>
        <v>閉</v>
      </c>
      <c r="B219" s="9">
        <f>配置表!M218</f>
        <v>45944</v>
      </c>
      <c r="C219" s="10" t="str">
        <f>配置表!N218</f>
        <v>火</v>
      </c>
      <c r="D219" s="63" t="str">
        <f>配置表!O218</f>
        <v>秋　特別展</v>
      </c>
      <c r="E219" s="63" t="str">
        <f>配置表!P218</f>
        <v>テーマ展</v>
      </c>
      <c r="F219" s="44" t="str">
        <f>配置表!Q218</f>
        <v>休</v>
      </c>
      <c r="G219" s="32">
        <f>配置表!R218</f>
        <v>0</v>
      </c>
      <c r="H219" s="33" t="str">
        <f>配置表!S218</f>
        <v>休</v>
      </c>
      <c r="I219" s="32">
        <f>配置表!T218</f>
        <v>0</v>
      </c>
      <c r="J219" s="33" t="str">
        <f>配置表!U218</f>
        <v>休</v>
      </c>
      <c r="K219" s="32">
        <f>配置表!V218</f>
        <v>0</v>
      </c>
      <c r="L219" s="33" t="str">
        <f>配置表!W218</f>
        <v>休</v>
      </c>
      <c r="M219" s="32">
        <f>配置表!X218</f>
        <v>0</v>
      </c>
      <c r="N219" s="33" t="str">
        <f>配置表!Y218</f>
        <v>休</v>
      </c>
      <c r="O219" s="32" t="str">
        <f>配置表!Z218</f>
        <v/>
      </c>
      <c r="P219" s="33" t="str">
        <f>配置表!AA218</f>
        <v>休</v>
      </c>
      <c r="Q219" s="227" t="str">
        <f>配置表!AB218</f>
        <v/>
      </c>
      <c r="R219" s="227" t="str">
        <f>配置表!AC218</f>
        <v/>
      </c>
      <c r="S219" s="238" t="str">
        <f>配置表!AD218</f>
        <v/>
      </c>
      <c r="T219" s="63"/>
      <c r="U219" s="152"/>
      <c r="V219" s="155"/>
      <c r="W219" s="274"/>
      <c r="X219" s="275"/>
      <c r="Y219" s="158"/>
      <c r="Z219" s="182">
        <f>COUNTIF(P206:P236,V219)</f>
        <v>0</v>
      </c>
      <c r="AA219" s="154">
        <f t="shared" si="12"/>
        <v>0</v>
      </c>
      <c r="AB219" s="182"/>
      <c r="AC219" s="183">
        <f t="shared" si="13"/>
        <v>0</v>
      </c>
    </row>
    <row r="220" spans="1:30" ht="13.5">
      <c r="A220" s="28" t="str">
        <f>配置表!L219</f>
        <v/>
      </c>
      <c r="B220" s="9">
        <f>配置表!M219</f>
        <v>45945</v>
      </c>
      <c r="C220" s="10" t="str">
        <f>配置表!N219</f>
        <v>水</v>
      </c>
      <c r="D220" s="63" t="str">
        <f>配置表!O219</f>
        <v>秋　特別展</v>
      </c>
      <c r="E220" s="63" t="str">
        <f>配置表!P219</f>
        <v>テーマ展</v>
      </c>
      <c r="F220" s="44" t="str">
        <f>配置表!Q219</f>
        <v>○</v>
      </c>
      <c r="G220" s="10">
        <f>配置表!R219</f>
        <v>0</v>
      </c>
      <c r="H220" s="10" t="str">
        <f>配置表!S219</f>
        <v/>
      </c>
      <c r="I220" s="45">
        <f>配置表!T219</f>
        <v>0</v>
      </c>
      <c r="J220" s="10" t="str">
        <f>配置表!U219</f>
        <v>●</v>
      </c>
      <c r="K220" s="32">
        <f>配置表!V219</f>
        <v>0</v>
      </c>
      <c r="L220" s="33" t="str">
        <f>配置表!W219</f>
        <v>○</v>
      </c>
      <c r="M220" s="32">
        <f>配置表!X219</f>
        <v>0</v>
      </c>
      <c r="N220" s="33" t="str">
        <f>配置表!Y219</f>
        <v>○</v>
      </c>
      <c r="O220" s="32">
        <f>配置表!Z219</f>
        <v>5</v>
      </c>
      <c r="P220" s="33" t="str">
        <f>配置表!AA219</f>
        <v>○</v>
      </c>
      <c r="Q220" s="227">
        <f>配置表!AB219</f>
        <v>0.41666666666666669</v>
      </c>
      <c r="R220" s="227">
        <f>配置表!AC219</f>
        <v>0.70833333333333337</v>
      </c>
      <c r="S220" s="238" t="str">
        <f>配置表!AD219</f>
        <v/>
      </c>
      <c r="T220" s="63"/>
      <c r="U220" s="152" t="s">
        <v>69</v>
      </c>
      <c r="V220" s="155" t="s">
        <v>66</v>
      </c>
      <c r="W220" s="274" t="s">
        <v>127</v>
      </c>
      <c r="X220" s="275">
        <v>7.5</v>
      </c>
      <c r="Y220" s="158">
        <v>5</v>
      </c>
      <c r="Z220" s="182">
        <f>COUNTIF(P206:P236,V220)</f>
        <v>27</v>
      </c>
      <c r="AA220" s="154">
        <f t="shared" si="12"/>
        <v>1012.5</v>
      </c>
      <c r="AB220" s="182">
        <f>AB$22</f>
        <v>0</v>
      </c>
      <c r="AC220" s="183">
        <f t="shared" si="13"/>
        <v>0</v>
      </c>
    </row>
    <row r="221" spans="1:30" ht="13.5">
      <c r="A221" s="28" t="str">
        <f>配置表!L220</f>
        <v/>
      </c>
      <c r="B221" s="9">
        <f>配置表!M220</f>
        <v>45946</v>
      </c>
      <c r="C221" s="10" t="str">
        <f>配置表!N220</f>
        <v>木</v>
      </c>
      <c r="D221" s="63" t="str">
        <f>配置表!O220</f>
        <v>秋　特別展</v>
      </c>
      <c r="E221" s="63" t="str">
        <f>配置表!P220</f>
        <v>テーマ展</v>
      </c>
      <c r="F221" s="44" t="str">
        <f>配置表!Q220</f>
        <v>○</v>
      </c>
      <c r="G221" s="10">
        <f>配置表!R220</f>
        <v>0</v>
      </c>
      <c r="H221" s="10" t="str">
        <f>配置表!S220</f>
        <v/>
      </c>
      <c r="I221" s="45">
        <f>配置表!T220</f>
        <v>0</v>
      </c>
      <c r="J221" s="10" t="str">
        <f>配置表!U220</f>
        <v>●</v>
      </c>
      <c r="K221" s="32">
        <f>配置表!V220</f>
        <v>0</v>
      </c>
      <c r="L221" s="33" t="str">
        <f>配置表!W220</f>
        <v>○</v>
      </c>
      <c r="M221" s="32">
        <f>配置表!X220</f>
        <v>0</v>
      </c>
      <c r="N221" s="33" t="str">
        <f>配置表!Y220</f>
        <v>○</v>
      </c>
      <c r="O221" s="32">
        <f>配置表!Z220</f>
        <v>5</v>
      </c>
      <c r="P221" s="33" t="str">
        <f>配置表!AA220</f>
        <v>○</v>
      </c>
      <c r="Q221" s="227">
        <f>配置表!AB220</f>
        <v>0.41666666666666669</v>
      </c>
      <c r="R221" s="227">
        <f>配置表!AC220</f>
        <v>0.70833333333333337</v>
      </c>
      <c r="S221" s="238" t="str">
        <f>配置表!AD220</f>
        <v/>
      </c>
      <c r="T221" s="63"/>
      <c r="U221" s="187" t="s">
        <v>69</v>
      </c>
      <c r="V221" s="155" t="s">
        <v>75</v>
      </c>
      <c r="W221" s="274" t="s">
        <v>127</v>
      </c>
      <c r="X221" s="275">
        <v>7.5</v>
      </c>
      <c r="Y221" s="158">
        <v>1</v>
      </c>
      <c r="Z221" s="186">
        <f>COUNTIF(P206:P236,V221)+Z222</f>
        <v>0</v>
      </c>
      <c r="AA221" s="154">
        <f t="shared" si="12"/>
        <v>0</v>
      </c>
      <c r="AB221" s="182">
        <f>AB$56</f>
        <v>0</v>
      </c>
      <c r="AC221" s="183">
        <f t="shared" si="13"/>
        <v>0</v>
      </c>
      <c r="AD221" s="1" t="s">
        <v>95</v>
      </c>
    </row>
    <row r="222" spans="1:30" ht="13.5">
      <c r="A222" s="28" t="str">
        <f>配置表!L221</f>
        <v/>
      </c>
      <c r="B222" s="9">
        <f>配置表!M221</f>
        <v>45947</v>
      </c>
      <c r="C222" s="10" t="str">
        <f>配置表!N221</f>
        <v>金</v>
      </c>
      <c r="D222" s="63" t="str">
        <f>配置表!O221</f>
        <v>秋　特別展</v>
      </c>
      <c r="E222" s="63" t="str">
        <f>配置表!P221</f>
        <v>テーマ展</v>
      </c>
      <c r="F222" s="44" t="str">
        <f>配置表!Q221</f>
        <v>○</v>
      </c>
      <c r="G222" s="10">
        <f>配置表!R221</f>
        <v>0</v>
      </c>
      <c r="H222" s="10" t="str">
        <f>配置表!S221</f>
        <v/>
      </c>
      <c r="I222" s="45">
        <f>配置表!T221</f>
        <v>0</v>
      </c>
      <c r="J222" s="10" t="str">
        <f>配置表!U221</f>
        <v>●</v>
      </c>
      <c r="K222" s="32">
        <f>配置表!V221</f>
        <v>0</v>
      </c>
      <c r="L222" s="33" t="str">
        <f>配置表!W221</f>
        <v>○</v>
      </c>
      <c r="M222" s="32">
        <f>配置表!X221</f>
        <v>0</v>
      </c>
      <c r="N222" s="33" t="str">
        <f>配置表!Y221</f>
        <v>○</v>
      </c>
      <c r="O222" s="32">
        <f>配置表!Z221</f>
        <v>5</v>
      </c>
      <c r="P222" s="33" t="str">
        <f>配置表!AA221</f>
        <v>○</v>
      </c>
      <c r="Q222" s="227">
        <f>配置表!AB221</f>
        <v>0.41666666666666669</v>
      </c>
      <c r="R222" s="227">
        <f>配置表!AC221</f>
        <v>0.70833333333333337</v>
      </c>
      <c r="S222" s="238" t="str">
        <f>配置表!AD221</f>
        <v/>
      </c>
      <c r="T222" s="63"/>
      <c r="U222" s="152" t="s">
        <v>69</v>
      </c>
      <c r="V222" s="155" t="s">
        <v>93</v>
      </c>
      <c r="W222" s="155" t="s">
        <v>154</v>
      </c>
      <c r="X222" s="191">
        <v>2.75</v>
      </c>
      <c r="Y222" s="158">
        <v>4</v>
      </c>
      <c r="Z222" s="186">
        <f>COUNTIF(P206:P236,V222)</f>
        <v>0</v>
      </c>
      <c r="AA222" s="154">
        <f t="shared" si="12"/>
        <v>0</v>
      </c>
      <c r="AB222" s="182"/>
      <c r="AC222" s="183">
        <f t="shared" si="13"/>
        <v>0</v>
      </c>
    </row>
    <row r="223" spans="1:30" ht="13.5">
      <c r="A223" s="28" t="str">
        <f>配置表!L222</f>
        <v/>
      </c>
      <c r="B223" s="9">
        <f>配置表!M222</f>
        <v>45948</v>
      </c>
      <c r="C223" s="10" t="str">
        <f>配置表!N222</f>
        <v>土</v>
      </c>
      <c r="D223" s="63" t="str">
        <f>配置表!O222</f>
        <v>秋　特別展</v>
      </c>
      <c r="E223" s="63" t="str">
        <f>配置表!P222</f>
        <v>テーマ展</v>
      </c>
      <c r="F223" s="44" t="str">
        <f>配置表!Q222</f>
        <v>○</v>
      </c>
      <c r="G223" s="10">
        <f>配置表!R222</f>
        <v>0</v>
      </c>
      <c r="H223" s="10" t="str">
        <f>配置表!S222</f>
        <v>○</v>
      </c>
      <c r="I223" s="45">
        <f>配置表!T222</f>
        <v>0</v>
      </c>
      <c r="J223" s="10" t="str">
        <f>配置表!U222</f>
        <v>●</v>
      </c>
      <c r="K223" s="32">
        <f>配置表!V222</f>
        <v>0</v>
      </c>
      <c r="L223" s="33" t="str">
        <f>配置表!W222</f>
        <v>◎</v>
      </c>
      <c r="M223" s="32">
        <f>配置表!X222</f>
        <v>0</v>
      </c>
      <c r="N223" s="33" t="str">
        <f>配置表!Y222</f>
        <v>○</v>
      </c>
      <c r="O223" s="32">
        <f>配置表!Z222</f>
        <v>5</v>
      </c>
      <c r="P223" s="33" t="str">
        <f>配置表!AA222</f>
        <v>○</v>
      </c>
      <c r="Q223" s="227">
        <f>配置表!AB222</f>
        <v>0.41666666666666669</v>
      </c>
      <c r="R223" s="227">
        <f>配置表!AC222</f>
        <v>0.70833333333333337</v>
      </c>
      <c r="S223" s="238" t="str">
        <f>配置表!AD222</f>
        <v/>
      </c>
      <c r="T223" s="63"/>
      <c r="U223" s="159" t="s">
        <v>64</v>
      </c>
      <c r="V223" s="160"/>
      <c r="W223" s="160"/>
      <c r="X223" s="188"/>
      <c r="Y223" s="188"/>
      <c r="Z223" s="189">
        <f>SUM(Z206:Z222)</f>
        <v>144</v>
      </c>
      <c r="AA223" s="190">
        <f>SUM(AA206:AA222)</f>
        <v>1813.5</v>
      </c>
      <c r="AB223" s="182"/>
      <c r="AC223" s="183">
        <f>SUM(AC206:AC222)</f>
        <v>0</v>
      </c>
    </row>
    <row r="224" spans="1:30" ht="14.25" thickBot="1">
      <c r="A224" s="28" t="str">
        <f>配置表!L223</f>
        <v/>
      </c>
      <c r="B224" s="9">
        <f>配置表!M223</f>
        <v>45949</v>
      </c>
      <c r="C224" s="10" t="str">
        <f>配置表!N223</f>
        <v>日</v>
      </c>
      <c r="D224" s="63" t="str">
        <f>配置表!O223</f>
        <v>秋　特別展</v>
      </c>
      <c r="E224" s="63" t="str">
        <f>配置表!P223</f>
        <v>テーマ展</v>
      </c>
      <c r="F224" s="44" t="str">
        <f>配置表!Q223</f>
        <v>○</v>
      </c>
      <c r="G224" s="10">
        <f>配置表!R223</f>
        <v>0</v>
      </c>
      <c r="H224" s="10" t="str">
        <f>配置表!S223</f>
        <v>○</v>
      </c>
      <c r="I224" s="45">
        <f>配置表!T223</f>
        <v>0</v>
      </c>
      <c r="J224" s="10" t="str">
        <f>配置表!U223</f>
        <v>●</v>
      </c>
      <c r="K224" s="32">
        <f>配置表!V223</f>
        <v>0</v>
      </c>
      <c r="L224" s="33" t="str">
        <f>配置表!W223</f>
        <v>◎</v>
      </c>
      <c r="M224" s="32">
        <f>配置表!X223</f>
        <v>0</v>
      </c>
      <c r="N224" s="33" t="str">
        <f>配置表!Y223</f>
        <v>○</v>
      </c>
      <c r="O224" s="32">
        <f>配置表!Z223</f>
        <v>5</v>
      </c>
      <c r="P224" s="33" t="str">
        <f>配置表!AA223</f>
        <v>○</v>
      </c>
      <c r="Q224" s="227">
        <f>配置表!AB223</f>
        <v>0.41666666666666669</v>
      </c>
      <c r="R224" s="227">
        <f>配置表!AC223</f>
        <v>0.70833333333333337</v>
      </c>
      <c r="S224" s="238" t="str">
        <f>配置表!AD223</f>
        <v/>
      </c>
      <c r="T224" s="63"/>
      <c r="U224" s="178" t="s">
        <v>65</v>
      </c>
      <c r="V224" s="179"/>
      <c r="W224" s="179"/>
      <c r="X224" s="180"/>
      <c r="Y224" s="180"/>
      <c r="Z224" s="180"/>
      <c r="AA224" s="170"/>
      <c r="AB224" s="184"/>
      <c r="AC224" s="185">
        <f>ROUNDDOWN(AC223*1.1,0)</f>
        <v>0</v>
      </c>
    </row>
    <row r="225" spans="1:29">
      <c r="A225" s="28" t="str">
        <f>配置表!L224</f>
        <v>閉</v>
      </c>
      <c r="B225" s="9">
        <f>配置表!M224</f>
        <v>45950</v>
      </c>
      <c r="C225" s="10" t="str">
        <f>配置表!N224</f>
        <v>月</v>
      </c>
      <c r="D225" s="63" t="str">
        <f>配置表!O224</f>
        <v>秋　特別展</v>
      </c>
      <c r="E225" s="63" t="str">
        <f>配置表!P224</f>
        <v>テーマ展</v>
      </c>
      <c r="F225" s="44" t="str">
        <f>配置表!Q224</f>
        <v>休</v>
      </c>
      <c r="G225" s="32">
        <f>配置表!R224</f>
        <v>0</v>
      </c>
      <c r="H225" s="10" t="str">
        <f>配置表!S224</f>
        <v>休</v>
      </c>
      <c r="I225" s="32">
        <f>配置表!T224</f>
        <v>0</v>
      </c>
      <c r="J225" s="33" t="str">
        <f>配置表!U224</f>
        <v>休</v>
      </c>
      <c r="K225" s="32">
        <f>配置表!V224</f>
        <v>0</v>
      </c>
      <c r="L225" s="33" t="str">
        <f>配置表!W224</f>
        <v>休</v>
      </c>
      <c r="M225" s="32">
        <f>配置表!X224</f>
        <v>0</v>
      </c>
      <c r="N225" s="33" t="str">
        <f>配置表!Y224</f>
        <v>休</v>
      </c>
      <c r="O225" s="32" t="str">
        <f>配置表!Z224</f>
        <v/>
      </c>
      <c r="P225" s="33" t="str">
        <f>配置表!AA224</f>
        <v>休</v>
      </c>
      <c r="Q225" s="227" t="str">
        <f>配置表!AB224</f>
        <v/>
      </c>
      <c r="R225" s="227" t="str">
        <f>配置表!AC224</f>
        <v/>
      </c>
      <c r="S225" s="238" t="str">
        <f>配置表!AD224</f>
        <v/>
      </c>
      <c r="T225" s="63"/>
    </row>
    <row r="226" spans="1:29">
      <c r="A226" s="28" t="str">
        <f>配置表!L225</f>
        <v/>
      </c>
      <c r="B226" s="9">
        <f>配置表!M225</f>
        <v>45951</v>
      </c>
      <c r="C226" s="10" t="str">
        <f>配置表!N225</f>
        <v>火</v>
      </c>
      <c r="D226" s="63" t="str">
        <f>配置表!O225</f>
        <v>秋　特別展</v>
      </c>
      <c r="E226" s="63" t="str">
        <f>配置表!P225</f>
        <v>テーマ展</v>
      </c>
      <c r="F226" s="44" t="str">
        <f>配置表!Q225</f>
        <v>○</v>
      </c>
      <c r="G226" s="10">
        <f>配置表!R225</f>
        <v>0</v>
      </c>
      <c r="H226" s="10" t="str">
        <f>配置表!S225</f>
        <v/>
      </c>
      <c r="I226" s="45">
        <f>配置表!T225</f>
        <v>0</v>
      </c>
      <c r="J226" s="10" t="str">
        <f>配置表!U225</f>
        <v>●</v>
      </c>
      <c r="K226" s="32">
        <f>配置表!V225</f>
        <v>0</v>
      </c>
      <c r="L226" s="33" t="str">
        <f>配置表!W225</f>
        <v>○</v>
      </c>
      <c r="M226" s="32">
        <f>配置表!X225</f>
        <v>0</v>
      </c>
      <c r="N226" s="33" t="str">
        <f>配置表!Y225</f>
        <v>○</v>
      </c>
      <c r="O226" s="32">
        <f>配置表!Z225</f>
        <v>5</v>
      </c>
      <c r="P226" s="33" t="str">
        <f>配置表!AA225</f>
        <v>○</v>
      </c>
      <c r="Q226" s="227">
        <f>配置表!AB225</f>
        <v>0.41666666666666669</v>
      </c>
      <c r="R226" s="227">
        <f>配置表!AC225</f>
        <v>0.70833333333333337</v>
      </c>
      <c r="S226" s="238" t="str">
        <f>配置表!AD225</f>
        <v/>
      </c>
      <c r="T226" s="63"/>
      <c r="W226" s="12"/>
    </row>
    <row r="227" spans="1:29">
      <c r="A227" s="28" t="str">
        <f>配置表!L226</f>
        <v/>
      </c>
      <c r="B227" s="9">
        <f>配置表!M226</f>
        <v>45952</v>
      </c>
      <c r="C227" s="10" t="str">
        <f>配置表!N226</f>
        <v>水</v>
      </c>
      <c r="D227" s="63" t="str">
        <f>配置表!O226</f>
        <v>秋　特別展</v>
      </c>
      <c r="E227" s="63" t="str">
        <f>配置表!P226</f>
        <v>テーマ展</v>
      </c>
      <c r="F227" s="44" t="str">
        <f>配置表!Q226</f>
        <v>○</v>
      </c>
      <c r="G227" s="10">
        <f>配置表!R226</f>
        <v>0</v>
      </c>
      <c r="H227" s="10" t="str">
        <f>配置表!S226</f>
        <v/>
      </c>
      <c r="I227" s="45">
        <f>配置表!T226</f>
        <v>0</v>
      </c>
      <c r="J227" s="10" t="str">
        <f>配置表!U226</f>
        <v>●</v>
      </c>
      <c r="K227" s="32">
        <f>配置表!V226</f>
        <v>0</v>
      </c>
      <c r="L227" s="33" t="str">
        <f>配置表!W226</f>
        <v>○</v>
      </c>
      <c r="M227" s="32">
        <f>配置表!X226</f>
        <v>0</v>
      </c>
      <c r="N227" s="33" t="str">
        <f>配置表!Y226</f>
        <v>○</v>
      </c>
      <c r="O227" s="32">
        <f>配置表!Z226</f>
        <v>5</v>
      </c>
      <c r="P227" s="33" t="str">
        <f>配置表!AA226</f>
        <v>○</v>
      </c>
      <c r="Q227" s="227">
        <f>配置表!AB226</f>
        <v>0.41666666666666669</v>
      </c>
      <c r="R227" s="227">
        <f>配置表!AC226</f>
        <v>0.70833333333333337</v>
      </c>
      <c r="S227" s="238" t="str">
        <f>配置表!AD226</f>
        <v/>
      </c>
      <c r="T227" s="63"/>
    </row>
    <row r="228" spans="1:29">
      <c r="A228" s="28" t="str">
        <f>配置表!L227</f>
        <v/>
      </c>
      <c r="B228" s="9">
        <f>配置表!M227</f>
        <v>45953</v>
      </c>
      <c r="C228" s="10" t="str">
        <f>配置表!N227</f>
        <v>木</v>
      </c>
      <c r="D228" s="63" t="str">
        <f>配置表!O227</f>
        <v>秋　特別展</v>
      </c>
      <c r="E228" s="63" t="str">
        <f>配置表!P227</f>
        <v>テーマ展</v>
      </c>
      <c r="F228" s="44" t="str">
        <f>配置表!Q227</f>
        <v>○</v>
      </c>
      <c r="G228" s="10">
        <f>配置表!R227</f>
        <v>0</v>
      </c>
      <c r="H228" s="10" t="str">
        <f>配置表!S227</f>
        <v/>
      </c>
      <c r="I228" s="45">
        <f>配置表!T227</f>
        <v>0</v>
      </c>
      <c r="J228" s="10" t="str">
        <f>配置表!U227</f>
        <v>●</v>
      </c>
      <c r="K228" s="32">
        <f>配置表!V227</f>
        <v>0</v>
      </c>
      <c r="L228" s="33" t="str">
        <f>配置表!W227</f>
        <v>○</v>
      </c>
      <c r="M228" s="32">
        <f>配置表!X227</f>
        <v>0</v>
      </c>
      <c r="N228" s="33" t="str">
        <f>配置表!Y227</f>
        <v>○</v>
      </c>
      <c r="O228" s="32">
        <f>配置表!Z227</f>
        <v>5</v>
      </c>
      <c r="P228" s="33" t="str">
        <f>配置表!AA227</f>
        <v>○</v>
      </c>
      <c r="Q228" s="227">
        <f>配置表!AB227</f>
        <v>0.41666666666666669</v>
      </c>
      <c r="R228" s="227">
        <f>配置表!AC227</f>
        <v>0.70833333333333337</v>
      </c>
      <c r="S228" s="238" t="str">
        <f>配置表!AD227</f>
        <v/>
      </c>
      <c r="T228" s="63"/>
      <c r="U228" s="4"/>
      <c r="V228" s="162"/>
      <c r="W228" s="162"/>
      <c r="X228" s="4"/>
      <c r="Y228" s="4"/>
      <c r="Z228" s="4"/>
      <c r="AA228" s="4"/>
      <c r="AB228" s="4"/>
      <c r="AC228" s="4"/>
    </row>
    <row r="229" spans="1:29">
      <c r="A229" s="28" t="str">
        <f>配置表!L228</f>
        <v/>
      </c>
      <c r="B229" s="9">
        <f>配置表!M228</f>
        <v>45954</v>
      </c>
      <c r="C229" s="10" t="str">
        <f>配置表!N228</f>
        <v>金</v>
      </c>
      <c r="D229" s="63" t="str">
        <f>配置表!O228</f>
        <v>秋　特別展</v>
      </c>
      <c r="E229" s="63" t="str">
        <f>配置表!P228</f>
        <v>テーマ展</v>
      </c>
      <c r="F229" s="44" t="str">
        <f>配置表!Q228</f>
        <v>○</v>
      </c>
      <c r="G229" s="10">
        <f>配置表!R228</f>
        <v>0</v>
      </c>
      <c r="H229" s="10" t="str">
        <f>配置表!S228</f>
        <v/>
      </c>
      <c r="I229" s="45">
        <f>配置表!T228</f>
        <v>0</v>
      </c>
      <c r="J229" s="10" t="str">
        <f>配置表!U228</f>
        <v>●</v>
      </c>
      <c r="K229" s="32">
        <f>配置表!V228</f>
        <v>0</v>
      </c>
      <c r="L229" s="33" t="str">
        <f>配置表!W228</f>
        <v>○</v>
      </c>
      <c r="M229" s="32">
        <f>配置表!X228</f>
        <v>0</v>
      </c>
      <c r="N229" s="33" t="str">
        <f>配置表!Y228</f>
        <v>○</v>
      </c>
      <c r="O229" s="32">
        <f>配置表!Z228</f>
        <v>5</v>
      </c>
      <c r="P229" s="33" t="str">
        <f>配置表!AA228</f>
        <v>○</v>
      </c>
      <c r="Q229" s="227">
        <f>配置表!AB228</f>
        <v>0.41666666666666669</v>
      </c>
      <c r="R229" s="227">
        <f>配置表!AC228</f>
        <v>0.70833333333333337</v>
      </c>
      <c r="S229" s="238" t="str">
        <f>配置表!AD228</f>
        <v/>
      </c>
      <c r="T229" s="63"/>
      <c r="U229" s="4"/>
      <c r="V229" s="162"/>
      <c r="W229" s="162"/>
      <c r="X229" s="4"/>
      <c r="Y229" s="4"/>
      <c r="Z229" s="4"/>
      <c r="AA229" s="4"/>
      <c r="AB229" s="4"/>
      <c r="AC229" s="4"/>
    </row>
    <row r="230" spans="1:29" ht="13.5">
      <c r="A230" s="28" t="str">
        <f>配置表!L229</f>
        <v/>
      </c>
      <c r="B230" s="9">
        <f>配置表!M229</f>
        <v>45955</v>
      </c>
      <c r="C230" s="10" t="str">
        <f>配置表!N229</f>
        <v>土</v>
      </c>
      <c r="D230" s="63" t="str">
        <f>配置表!O229</f>
        <v>秋　特別展</v>
      </c>
      <c r="E230" s="63" t="str">
        <f>配置表!P229</f>
        <v>テーマ展</v>
      </c>
      <c r="F230" s="44" t="str">
        <f>配置表!Q229</f>
        <v>○</v>
      </c>
      <c r="G230" s="10">
        <f>配置表!R229</f>
        <v>0</v>
      </c>
      <c r="H230" s="10" t="str">
        <f>配置表!S229</f>
        <v>○</v>
      </c>
      <c r="I230" s="45">
        <f>配置表!T229</f>
        <v>0</v>
      </c>
      <c r="J230" s="10" t="str">
        <f>配置表!U229</f>
        <v>●</v>
      </c>
      <c r="K230" s="32">
        <f>配置表!V229</f>
        <v>0</v>
      </c>
      <c r="L230" s="33" t="str">
        <f>配置表!W229</f>
        <v>◎</v>
      </c>
      <c r="M230" s="32">
        <f>配置表!X229</f>
        <v>0</v>
      </c>
      <c r="N230" s="33" t="str">
        <f>配置表!Y229</f>
        <v>○</v>
      </c>
      <c r="O230" s="32">
        <f>配置表!Z229</f>
        <v>5</v>
      </c>
      <c r="P230" s="33" t="str">
        <f>配置表!AA229</f>
        <v>○</v>
      </c>
      <c r="Q230" s="227">
        <f>配置表!AB229</f>
        <v>0.41666666666666669</v>
      </c>
      <c r="R230" s="227">
        <f>配置表!AC229</f>
        <v>0.70833333333333337</v>
      </c>
      <c r="S230" s="238" t="str">
        <f>配置表!AD229</f>
        <v/>
      </c>
      <c r="T230" s="63"/>
      <c r="U230" s="318"/>
      <c r="V230" s="318"/>
      <c r="W230" s="318"/>
      <c r="X230" s="318"/>
      <c r="Y230" s="318"/>
      <c r="Z230" s="318"/>
      <c r="AA230" s="318"/>
      <c r="AB230" s="318"/>
      <c r="AC230" s="318"/>
    </row>
    <row r="231" spans="1:29" ht="13.5">
      <c r="A231" s="28" t="str">
        <f>配置表!L230</f>
        <v/>
      </c>
      <c r="B231" s="9">
        <f>配置表!M230</f>
        <v>45956</v>
      </c>
      <c r="C231" s="10" t="str">
        <f>配置表!N230</f>
        <v>日</v>
      </c>
      <c r="D231" s="63" t="str">
        <f>配置表!O230</f>
        <v>秋　特別展</v>
      </c>
      <c r="E231" s="63" t="str">
        <f>配置表!P230</f>
        <v>テーマ展</v>
      </c>
      <c r="F231" s="44" t="str">
        <f>配置表!Q230</f>
        <v>○</v>
      </c>
      <c r="G231" s="10">
        <f>配置表!R230</f>
        <v>0</v>
      </c>
      <c r="H231" s="10" t="str">
        <f>配置表!S230</f>
        <v>○</v>
      </c>
      <c r="I231" s="45">
        <f>配置表!T230</f>
        <v>0</v>
      </c>
      <c r="J231" s="10" t="str">
        <f>配置表!U230</f>
        <v>●</v>
      </c>
      <c r="K231" s="32">
        <f>配置表!V230</f>
        <v>0</v>
      </c>
      <c r="L231" s="33" t="str">
        <f>配置表!W230</f>
        <v>◎</v>
      </c>
      <c r="M231" s="32">
        <f>配置表!X230</f>
        <v>0</v>
      </c>
      <c r="N231" s="33" t="str">
        <f>配置表!Y230</f>
        <v>○</v>
      </c>
      <c r="O231" s="32">
        <f>配置表!Z230</f>
        <v>5</v>
      </c>
      <c r="P231" s="33" t="str">
        <f>配置表!AA230</f>
        <v>○</v>
      </c>
      <c r="Q231" s="227">
        <f>配置表!AB230</f>
        <v>0.41666666666666669</v>
      </c>
      <c r="R231" s="227">
        <f>配置表!AC230</f>
        <v>0.70833333333333337</v>
      </c>
      <c r="S231" s="238" t="str">
        <f>配置表!AD230</f>
        <v/>
      </c>
      <c r="T231" s="63"/>
      <c r="U231" s="39"/>
      <c r="V231" s="319"/>
      <c r="W231" s="319"/>
      <c r="X231" s="326"/>
      <c r="Y231" s="321"/>
      <c r="Z231" s="26"/>
      <c r="AA231" s="327"/>
      <c r="AB231" s="323"/>
      <c r="AC231" s="323"/>
    </row>
    <row r="232" spans="1:29" ht="13.5">
      <c r="A232" s="28" t="str">
        <f>配置表!L231</f>
        <v>閉</v>
      </c>
      <c r="B232" s="9">
        <f>配置表!M231</f>
        <v>45957</v>
      </c>
      <c r="C232" s="10" t="str">
        <f>配置表!N231</f>
        <v>月</v>
      </c>
      <c r="D232" s="63" t="str">
        <f>配置表!O231</f>
        <v>秋　特別展</v>
      </c>
      <c r="E232" s="63" t="str">
        <f>配置表!P231</f>
        <v>テーマ展</v>
      </c>
      <c r="F232" s="44" t="str">
        <f>配置表!Q231</f>
        <v>休</v>
      </c>
      <c r="G232" s="32">
        <f>配置表!R231</f>
        <v>0</v>
      </c>
      <c r="H232" s="10" t="str">
        <f>配置表!S231</f>
        <v>休</v>
      </c>
      <c r="I232" s="32">
        <f>配置表!T231</f>
        <v>0</v>
      </c>
      <c r="J232" s="33" t="str">
        <f>配置表!U231</f>
        <v>休</v>
      </c>
      <c r="K232" s="32">
        <f>配置表!V231</f>
        <v>0</v>
      </c>
      <c r="L232" s="33" t="str">
        <f>配置表!W231</f>
        <v>休</v>
      </c>
      <c r="M232" s="32">
        <f>配置表!X231</f>
        <v>0</v>
      </c>
      <c r="N232" s="33" t="str">
        <f>配置表!Y231</f>
        <v>休</v>
      </c>
      <c r="O232" s="32" t="str">
        <f>配置表!Z231</f>
        <v/>
      </c>
      <c r="P232" s="33" t="str">
        <f>配置表!AA231</f>
        <v>休</v>
      </c>
      <c r="Q232" s="227" t="str">
        <f>配置表!AB231</f>
        <v/>
      </c>
      <c r="R232" s="227" t="str">
        <f>配置表!AC231</f>
        <v/>
      </c>
      <c r="S232" s="238" t="str">
        <f>配置表!AD231</f>
        <v/>
      </c>
      <c r="T232" s="63"/>
      <c r="U232" s="39"/>
      <c r="V232" s="319"/>
      <c r="W232" s="319"/>
      <c r="X232" s="326"/>
      <c r="Y232" s="321"/>
      <c r="Z232" s="26"/>
      <c r="AA232" s="327"/>
      <c r="AB232" s="323"/>
      <c r="AC232" s="323"/>
    </row>
    <row r="233" spans="1:29" ht="13.5">
      <c r="A233" s="28" t="str">
        <f>配置表!L232</f>
        <v/>
      </c>
      <c r="B233" s="9">
        <f>配置表!M232</f>
        <v>45958</v>
      </c>
      <c r="C233" s="10" t="str">
        <f>配置表!N232</f>
        <v>火</v>
      </c>
      <c r="D233" s="63" t="str">
        <f>配置表!O232</f>
        <v>秋　特別展</v>
      </c>
      <c r="E233" s="63" t="str">
        <f>配置表!P232</f>
        <v>テーマ展</v>
      </c>
      <c r="F233" s="44" t="str">
        <f>配置表!Q232</f>
        <v>○</v>
      </c>
      <c r="G233" s="10">
        <f>配置表!R232</f>
        <v>0</v>
      </c>
      <c r="H233" s="10" t="str">
        <f>配置表!S232</f>
        <v/>
      </c>
      <c r="I233" s="45">
        <f>配置表!T232</f>
        <v>0</v>
      </c>
      <c r="J233" s="10" t="str">
        <f>配置表!U232</f>
        <v>●</v>
      </c>
      <c r="K233" s="32">
        <f>配置表!V232</f>
        <v>0</v>
      </c>
      <c r="L233" s="33" t="str">
        <f>配置表!W232</f>
        <v>○</v>
      </c>
      <c r="M233" s="32">
        <f>配置表!X232</f>
        <v>0</v>
      </c>
      <c r="N233" s="33" t="str">
        <f>配置表!Y232</f>
        <v>○</v>
      </c>
      <c r="O233" s="32">
        <f>配置表!Z232</f>
        <v>5</v>
      </c>
      <c r="P233" s="33" t="str">
        <f>配置表!AA232</f>
        <v>○</v>
      </c>
      <c r="Q233" s="227">
        <f>配置表!AB232</f>
        <v>0.41666666666666669</v>
      </c>
      <c r="R233" s="227">
        <f>配置表!AC232</f>
        <v>0.70833333333333337</v>
      </c>
      <c r="S233" s="238" t="str">
        <f>配置表!AD232</f>
        <v/>
      </c>
      <c r="T233" s="63"/>
      <c r="U233" s="328"/>
      <c r="V233" s="328"/>
      <c r="W233" s="328"/>
      <c r="X233" s="329"/>
      <c r="Y233" s="330"/>
      <c r="Z233" s="331"/>
      <c r="AA233" s="332"/>
      <c r="AB233" s="333"/>
      <c r="AC233" s="323"/>
    </row>
    <row r="234" spans="1:29" ht="13.5">
      <c r="A234" s="28" t="str">
        <f>配置表!L233</f>
        <v/>
      </c>
      <c r="B234" s="9">
        <f>配置表!M233</f>
        <v>45959</v>
      </c>
      <c r="C234" s="10" t="str">
        <f>配置表!N233</f>
        <v>水</v>
      </c>
      <c r="D234" s="63" t="str">
        <f>配置表!O233</f>
        <v>秋　特別展</v>
      </c>
      <c r="E234" s="63" t="str">
        <f>配置表!P233</f>
        <v>テーマ展</v>
      </c>
      <c r="F234" s="44" t="str">
        <f>配置表!Q233</f>
        <v>○</v>
      </c>
      <c r="G234" s="10">
        <f>配置表!R233</f>
        <v>0</v>
      </c>
      <c r="H234" s="10" t="str">
        <f>配置表!S233</f>
        <v/>
      </c>
      <c r="I234" s="45">
        <f>配置表!T233</f>
        <v>0</v>
      </c>
      <c r="J234" s="10" t="str">
        <f>配置表!U233</f>
        <v>●</v>
      </c>
      <c r="K234" s="32">
        <f>配置表!V233</f>
        <v>0</v>
      </c>
      <c r="L234" s="33" t="str">
        <f>配置表!W233</f>
        <v>○</v>
      </c>
      <c r="M234" s="32">
        <f>配置表!X233</f>
        <v>0</v>
      </c>
      <c r="N234" s="33" t="str">
        <f>配置表!Y233</f>
        <v>○</v>
      </c>
      <c r="O234" s="32">
        <f>配置表!Z233</f>
        <v>5</v>
      </c>
      <c r="P234" s="33" t="str">
        <f>配置表!AA233</f>
        <v>○</v>
      </c>
      <c r="Q234" s="227">
        <f>配置表!AB233</f>
        <v>0.41666666666666669</v>
      </c>
      <c r="R234" s="227">
        <f>配置表!AC233</f>
        <v>0.70833333333333337</v>
      </c>
      <c r="S234" s="238" t="str">
        <f>配置表!AD233</f>
        <v/>
      </c>
      <c r="T234" s="63"/>
      <c r="U234" s="4"/>
      <c r="V234" s="162"/>
      <c r="W234" s="162"/>
      <c r="X234" s="4"/>
      <c r="Y234" s="4"/>
      <c r="Z234" s="4"/>
      <c r="AA234" s="4"/>
      <c r="AB234" s="324"/>
      <c r="AC234" s="325"/>
    </row>
    <row r="235" spans="1:29">
      <c r="A235" s="28" t="str">
        <f>配置表!L234</f>
        <v/>
      </c>
      <c r="B235" s="9">
        <f>配置表!M234</f>
        <v>45960</v>
      </c>
      <c r="C235" s="10" t="str">
        <f>配置表!N234</f>
        <v>木</v>
      </c>
      <c r="D235" s="63" t="str">
        <f>配置表!O234</f>
        <v>秋　特別展</v>
      </c>
      <c r="E235" s="63" t="str">
        <f>配置表!P234</f>
        <v>テーマ展</v>
      </c>
      <c r="F235" s="44" t="str">
        <f>配置表!Q234</f>
        <v>○</v>
      </c>
      <c r="G235" s="10">
        <f>配置表!R234</f>
        <v>0</v>
      </c>
      <c r="H235" s="10" t="str">
        <f>配置表!S234</f>
        <v/>
      </c>
      <c r="I235" s="45">
        <f>配置表!T234</f>
        <v>0</v>
      </c>
      <c r="J235" s="10" t="str">
        <f>配置表!U234</f>
        <v>●</v>
      </c>
      <c r="K235" s="32">
        <f>配置表!V234</f>
        <v>0</v>
      </c>
      <c r="L235" s="33" t="str">
        <f>配置表!W234</f>
        <v>○</v>
      </c>
      <c r="M235" s="32">
        <f>配置表!X234</f>
        <v>0</v>
      </c>
      <c r="N235" s="33" t="str">
        <f>配置表!Y234</f>
        <v>○</v>
      </c>
      <c r="O235" s="32">
        <f>配置表!Z234</f>
        <v>5</v>
      </c>
      <c r="P235" s="33" t="str">
        <f>配置表!AA234</f>
        <v>○</v>
      </c>
      <c r="Q235" s="227">
        <f>配置表!AB234</f>
        <v>0.41666666666666669</v>
      </c>
      <c r="R235" s="227">
        <f>配置表!AC234</f>
        <v>0.70833333333333337</v>
      </c>
      <c r="S235" s="238" t="str">
        <f>配置表!AD234</f>
        <v/>
      </c>
      <c r="T235" s="63"/>
      <c r="U235" s="4"/>
      <c r="V235" s="162"/>
      <c r="W235" s="162"/>
      <c r="X235" s="4"/>
      <c r="Y235" s="4"/>
      <c r="Z235" s="4"/>
      <c r="AA235" s="4"/>
      <c r="AB235" s="4"/>
      <c r="AC235" s="4"/>
    </row>
    <row r="236" spans="1:29" ht="12" thickBot="1">
      <c r="A236" s="28" t="str">
        <f>配置表!L235</f>
        <v/>
      </c>
      <c r="B236" s="29">
        <f>配置表!M235</f>
        <v>45961</v>
      </c>
      <c r="C236" s="22" t="str">
        <f>配置表!N235</f>
        <v>金</v>
      </c>
      <c r="D236" s="65" t="str">
        <f>配置表!O235</f>
        <v>秋　特別展</v>
      </c>
      <c r="E236" s="65" t="str">
        <f>配置表!P235</f>
        <v>テーマ展</v>
      </c>
      <c r="F236" s="40" t="str">
        <f>配置表!Q235</f>
        <v>○</v>
      </c>
      <c r="G236" s="22">
        <f>配置表!R235</f>
        <v>0</v>
      </c>
      <c r="H236" s="34" t="str">
        <f>配置表!S235</f>
        <v/>
      </c>
      <c r="I236" s="41">
        <f>配置表!T235</f>
        <v>0</v>
      </c>
      <c r="J236" s="22" t="str">
        <f>配置表!U235</f>
        <v>●</v>
      </c>
      <c r="K236" s="23">
        <f>配置表!V235</f>
        <v>0</v>
      </c>
      <c r="L236" s="34" t="str">
        <f>配置表!W235</f>
        <v>○</v>
      </c>
      <c r="M236" s="23">
        <f>配置表!X235</f>
        <v>0</v>
      </c>
      <c r="N236" s="34" t="str">
        <f>配置表!Y235</f>
        <v>○</v>
      </c>
      <c r="O236" s="23">
        <f>配置表!Z235</f>
        <v>5</v>
      </c>
      <c r="P236" s="34" t="str">
        <f>配置表!AA235</f>
        <v>○</v>
      </c>
      <c r="Q236" s="233">
        <f>配置表!AB235</f>
        <v>0.41666666666666669</v>
      </c>
      <c r="R236" s="233">
        <f>配置表!AC235</f>
        <v>0.70833333333333337</v>
      </c>
      <c r="S236" s="239" t="str">
        <f>配置表!AD235</f>
        <v/>
      </c>
      <c r="T236" s="63"/>
    </row>
    <row r="237" spans="1:29" ht="14.25" thickBot="1">
      <c r="A237" s="28"/>
      <c r="B237" s="57"/>
      <c r="C237" s="50"/>
      <c r="D237" s="50"/>
      <c r="E237" s="50"/>
      <c r="F237" s="24">
        <f>COUNTIF(F206:F236,"○")</f>
        <v>27</v>
      </c>
      <c r="G237" s="50"/>
      <c r="H237" s="50"/>
      <c r="I237" s="37"/>
      <c r="J237" s="37"/>
      <c r="K237" s="50"/>
      <c r="L237" s="50"/>
      <c r="M237" s="50"/>
      <c r="N237" s="50"/>
      <c r="O237" s="50"/>
      <c r="P237" s="50"/>
      <c r="Q237" s="110" t="str">
        <f>IF(ISERROR(VLOOKUP(B237,データ!$A$3:$C$19,2,FALSE)),"",VLOOKUP(B237,データ!$A$3:$C$19,2,FALSE))</f>
        <v/>
      </c>
      <c r="R237" s="110"/>
      <c r="S237" s="110"/>
      <c r="T237" s="110"/>
    </row>
    <row r="238" spans="1:29" customFormat="1" ht="27.75" customHeight="1" thickBot="1">
      <c r="A238" s="28"/>
      <c r="B238" s="58"/>
      <c r="C238" s="59"/>
      <c r="D238" s="42" t="s">
        <v>5</v>
      </c>
      <c r="E238" s="42" t="s">
        <v>6</v>
      </c>
      <c r="F238" s="49" t="s">
        <v>8</v>
      </c>
      <c r="G238" s="354" t="s">
        <v>13</v>
      </c>
      <c r="H238" s="355"/>
      <c r="I238" s="354" t="s">
        <v>14</v>
      </c>
      <c r="J238" s="355"/>
      <c r="K238" s="354" t="s">
        <v>9</v>
      </c>
      <c r="L238" s="355"/>
      <c r="M238" s="354" t="s">
        <v>10</v>
      </c>
      <c r="N238" s="355"/>
      <c r="O238" s="354" t="s">
        <v>1</v>
      </c>
      <c r="P238" s="355"/>
      <c r="Q238" s="38" t="s">
        <v>114</v>
      </c>
      <c r="R238" s="38" t="s">
        <v>35</v>
      </c>
      <c r="S238" s="38" t="s">
        <v>116</v>
      </c>
      <c r="T238" s="63"/>
      <c r="U238" s="149" t="s">
        <v>81</v>
      </c>
      <c r="V238" s="156"/>
      <c r="W238" s="156" t="s">
        <v>74</v>
      </c>
      <c r="X238" s="175" t="s">
        <v>60</v>
      </c>
      <c r="Y238" s="175" t="s">
        <v>70</v>
      </c>
      <c r="Z238" s="150" t="s">
        <v>71</v>
      </c>
      <c r="AA238" s="150" t="s">
        <v>61</v>
      </c>
      <c r="AB238" s="150" t="s">
        <v>62</v>
      </c>
      <c r="AC238" s="151" t="s">
        <v>63</v>
      </c>
    </row>
    <row r="239" spans="1:29" ht="13.5">
      <c r="A239" s="28" t="str">
        <f>配置表!L238</f>
        <v/>
      </c>
      <c r="B239" s="9">
        <f>配置表!M238</f>
        <v>45962</v>
      </c>
      <c r="C239" s="10" t="str">
        <f>配置表!N238</f>
        <v>土</v>
      </c>
      <c r="D239" s="63" t="str">
        <f>配置表!O238</f>
        <v>秋　特別展</v>
      </c>
      <c r="E239" s="63" t="str">
        <f>配置表!P238</f>
        <v>テーマ展</v>
      </c>
      <c r="F239" s="46" t="str">
        <f>配置表!Q238</f>
        <v>○</v>
      </c>
      <c r="G239" s="46">
        <f>配置表!R238</f>
        <v>0</v>
      </c>
      <c r="H239" s="10" t="str">
        <f>配置表!S238</f>
        <v>○</v>
      </c>
      <c r="I239" s="46">
        <f>配置表!T238</f>
        <v>0</v>
      </c>
      <c r="J239" s="24" t="str">
        <f>配置表!U238</f>
        <v>●</v>
      </c>
      <c r="K239" s="35">
        <f>配置表!V238</f>
        <v>0</v>
      </c>
      <c r="L239" s="47" t="str">
        <f>配置表!W238</f>
        <v>◎</v>
      </c>
      <c r="M239" s="35">
        <f>配置表!X238</f>
        <v>0</v>
      </c>
      <c r="N239" s="47" t="str">
        <f>配置表!Y238</f>
        <v>○</v>
      </c>
      <c r="O239" s="35">
        <f>配置表!Z238</f>
        <v>5</v>
      </c>
      <c r="P239" s="47" t="str">
        <f>配置表!AA238</f>
        <v>○</v>
      </c>
      <c r="Q239" s="232">
        <f>配置表!AB238</f>
        <v>0.41666666666666669</v>
      </c>
      <c r="R239" s="232">
        <f>配置表!AC238</f>
        <v>0.70833333333333337</v>
      </c>
      <c r="S239" s="237" t="str">
        <f>配置表!AD238</f>
        <v/>
      </c>
      <c r="T239" s="63"/>
      <c r="U239" s="173" t="s">
        <v>88</v>
      </c>
      <c r="V239" s="156"/>
      <c r="W239" s="156"/>
      <c r="X239" s="176"/>
      <c r="Y239" s="177"/>
      <c r="Z239" s="181">
        <f>COUNTIF(F239:F269,V239)</f>
        <v>0</v>
      </c>
      <c r="AA239" s="174">
        <f>X239*Y239*Z239</f>
        <v>0</v>
      </c>
      <c r="AB239" s="181"/>
      <c r="AC239" s="315">
        <f>SUM(AA239*AB239)</f>
        <v>0</v>
      </c>
    </row>
    <row r="240" spans="1:29" ht="13.5">
      <c r="A240" s="28" t="str">
        <f>配置表!L239</f>
        <v/>
      </c>
      <c r="B240" s="9">
        <f>配置表!M239</f>
        <v>45963</v>
      </c>
      <c r="C240" s="10" t="str">
        <f>配置表!N239</f>
        <v>日</v>
      </c>
      <c r="D240" s="63" t="str">
        <f>配置表!O239</f>
        <v>秋　特別展</v>
      </c>
      <c r="E240" s="63" t="str">
        <f>配置表!P239</f>
        <v>テーマ展</v>
      </c>
      <c r="F240" s="45" t="str">
        <f>配置表!Q239</f>
        <v>○</v>
      </c>
      <c r="G240" s="45">
        <f>配置表!R239</f>
        <v>0</v>
      </c>
      <c r="H240" s="10" t="str">
        <f>配置表!S239</f>
        <v>○</v>
      </c>
      <c r="I240" s="45">
        <f>配置表!T239</f>
        <v>0</v>
      </c>
      <c r="J240" s="10" t="str">
        <f>配置表!U239</f>
        <v>●</v>
      </c>
      <c r="K240" s="217">
        <f>配置表!V239</f>
        <v>0</v>
      </c>
      <c r="L240" s="33" t="str">
        <f>配置表!W239</f>
        <v>◎</v>
      </c>
      <c r="M240" s="36">
        <f>配置表!X239</f>
        <v>0</v>
      </c>
      <c r="N240" s="33" t="str">
        <f>配置表!Y239</f>
        <v>○</v>
      </c>
      <c r="O240" s="32">
        <f>配置表!Z239</f>
        <v>5</v>
      </c>
      <c r="P240" s="33" t="str">
        <f>配置表!AA239</f>
        <v>○</v>
      </c>
      <c r="Q240" s="227">
        <f>配置表!AB239</f>
        <v>0.41666666666666669</v>
      </c>
      <c r="R240" s="227">
        <f>配置表!AC239</f>
        <v>0.70833333333333337</v>
      </c>
      <c r="S240" s="238" t="str">
        <f>配置表!AD239</f>
        <v/>
      </c>
      <c r="T240" s="63"/>
      <c r="U240" s="152" t="s">
        <v>88</v>
      </c>
      <c r="V240" s="155" t="s">
        <v>66</v>
      </c>
      <c r="W240" s="274" t="s">
        <v>126</v>
      </c>
      <c r="X240" s="275">
        <v>8.5</v>
      </c>
      <c r="Y240" s="158">
        <v>1</v>
      </c>
      <c r="Z240" s="182">
        <f>COUNTIF(F239:F269,V240)</f>
        <v>26</v>
      </c>
      <c r="AA240" s="154">
        <f t="shared" ref="AA240:AA255" si="14">X240*Y240*Z240</f>
        <v>221</v>
      </c>
      <c r="AB240" s="182">
        <f>AB$9</f>
        <v>0</v>
      </c>
      <c r="AC240" s="183">
        <f t="shared" ref="AC240:AC255" si="15">SUM(AA240*AB240)</f>
        <v>0</v>
      </c>
    </row>
    <row r="241" spans="1:30" ht="13.5">
      <c r="A241" s="28" t="str">
        <f>配置表!L240</f>
        <v/>
      </c>
      <c r="B241" s="9">
        <f>配置表!M240</f>
        <v>45964</v>
      </c>
      <c r="C241" s="10" t="str">
        <f>配置表!N240</f>
        <v>月</v>
      </c>
      <c r="D241" s="63" t="str">
        <f>配置表!O240</f>
        <v>秋　特別展</v>
      </c>
      <c r="E241" s="63" t="str">
        <f>配置表!P240</f>
        <v>テーマ展</v>
      </c>
      <c r="F241" s="45" t="str">
        <f>配置表!Q240</f>
        <v>○</v>
      </c>
      <c r="G241" s="45">
        <f>配置表!R240</f>
        <v>0</v>
      </c>
      <c r="H241" s="10" t="str">
        <f>配置表!S240</f>
        <v>○</v>
      </c>
      <c r="I241" s="45">
        <f>配置表!T240</f>
        <v>0</v>
      </c>
      <c r="J241" s="10" t="str">
        <f>配置表!U240</f>
        <v>●</v>
      </c>
      <c r="K241" s="217">
        <f>配置表!V240</f>
        <v>0</v>
      </c>
      <c r="L241" s="33" t="str">
        <f>配置表!W240</f>
        <v>◎</v>
      </c>
      <c r="M241" s="36">
        <f>配置表!X240</f>
        <v>0</v>
      </c>
      <c r="N241" s="33" t="str">
        <f>配置表!Y240</f>
        <v>○</v>
      </c>
      <c r="O241" s="32">
        <f>配置表!Z240</f>
        <v>5</v>
      </c>
      <c r="P241" s="33" t="str">
        <f>配置表!AA240</f>
        <v>○</v>
      </c>
      <c r="Q241" s="227">
        <f>配置表!AB240</f>
        <v>0.41666666666666669</v>
      </c>
      <c r="R241" s="227">
        <f>配置表!AC240</f>
        <v>0.70833333333333337</v>
      </c>
      <c r="S241" s="238" t="str">
        <f>配置表!AD240</f>
        <v>文化の日</v>
      </c>
      <c r="T241" s="63"/>
      <c r="U241" s="152" t="s">
        <v>89</v>
      </c>
      <c r="V241" s="155" t="s">
        <v>66</v>
      </c>
      <c r="W241" s="155" t="s">
        <v>141</v>
      </c>
      <c r="X241" s="191">
        <v>5.25</v>
      </c>
      <c r="Y241" s="158">
        <v>1</v>
      </c>
      <c r="Z241" s="182">
        <f>COUNTIF(H239:H269,V241)</f>
        <v>10</v>
      </c>
      <c r="AA241" s="154">
        <f t="shared" si="14"/>
        <v>52.5</v>
      </c>
      <c r="AB241" s="182">
        <f>AB$10</f>
        <v>0</v>
      </c>
      <c r="AC241" s="183">
        <f t="shared" si="15"/>
        <v>0</v>
      </c>
    </row>
    <row r="242" spans="1:30" ht="13.5">
      <c r="A242" s="28" t="str">
        <f>配置表!L241</f>
        <v>閉</v>
      </c>
      <c r="B242" s="9">
        <f>配置表!M241</f>
        <v>45965</v>
      </c>
      <c r="C242" s="10" t="str">
        <f>配置表!N241</f>
        <v>火</v>
      </c>
      <c r="D242" s="63" t="str">
        <f>配置表!O241</f>
        <v>秋　特別展</v>
      </c>
      <c r="E242" s="63" t="str">
        <f>配置表!P241</f>
        <v>テーマ展</v>
      </c>
      <c r="F242" s="44" t="str">
        <f>配置表!Q241</f>
        <v>休</v>
      </c>
      <c r="G242" s="217">
        <f>配置表!R241</f>
        <v>0</v>
      </c>
      <c r="H242" s="33" t="str">
        <f>配置表!S241</f>
        <v>休</v>
      </c>
      <c r="I242" s="217">
        <f>配置表!T241</f>
        <v>0</v>
      </c>
      <c r="J242" s="33" t="str">
        <f>配置表!U241</f>
        <v>休</v>
      </c>
      <c r="K242" s="217">
        <f>配置表!V241</f>
        <v>0</v>
      </c>
      <c r="L242" s="33" t="str">
        <f>配置表!W241</f>
        <v>休</v>
      </c>
      <c r="M242" s="36">
        <f>配置表!X241</f>
        <v>0</v>
      </c>
      <c r="N242" s="33" t="str">
        <f>配置表!Y241</f>
        <v>休</v>
      </c>
      <c r="O242" s="32" t="str">
        <f>配置表!Z241</f>
        <v/>
      </c>
      <c r="P242" s="33" t="str">
        <f>配置表!AA241</f>
        <v>休</v>
      </c>
      <c r="Q242" s="227" t="str">
        <f>配置表!AB241</f>
        <v/>
      </c>
      <c r="R242" s="227" t="str">
        <f>配置表!AC241</f>
        <v/>
      </c>
      <c r="S242" s="238" t="str">
        <f>配置表!AD241</f>
        <v/>
      </c>
      <c r="T242" s="63"/>
      <c r="U242" s="152"/>
      <c r="V242" s="155"/>
      <c r="W242" s="155"/>
      <c r="X242" s="153"/>
      <c r="Y242" s="158"/>
      <c r="Z242" s="182">
        <f>COUNTIF(H239:H269,V242)</f>
        <v>0</v>
      </c>
      <c r="AA242" s="154">
        <f t="shared" si="14"/>
        <v>0</v>
      </c>
      <c r="AB242" s="182"/>
      <c r="AC242" s="183">
        <f t="shared" si="15"/>
        <v>0</v>
      </c>
    </row>
    <row r="243" spans="1:30" ht="13.5">
      <c r="A243" s="28" t="str">
        <f>配置表!L242</f>
        <v/>
      </c>
      <c r="B243" s="9">
        <f>配置表!M242</f>
        <v>45966</v>
      </c>
      <c r="C243" s="10" t="str">
        <f>配置表!N242</f>
        <v>水</v>
      </c>
      <c r="D243" s="63" t="str">
        <f>配置表!O242</f>
        <v>秋　特別展</v>
      </c>
      <c r="E243" s="63" t="str">
        <f>配置表!P242</f>
        <v>テーマ展</v>
      </c>
      <c r="F243" s="45" t="str">
        <f>配置表!Q242</f>
        <v>○</v>
      </c>
      <c r="G243" s="45">
        <f>配置表!R242</f>
        <v>0</v>
      </c>
      <c r="H243" s="10" t="str">
        <f>配置表!S242</f>
        <v/>
      </c>
      <c r="I243" s="45">
        <f>配置表!T242</f>
        <v>0</v>
      </c>
      <c r="J243" s="10" t="str">
        <f>配置表!U242</f>
        <v>●</v>
      </c>
      <c r="K243" s="217">
        <f>配置表!V242</f>
        <v>0</v>
      </c>
      <c r="L243" s="33" t="str">
        <f>配置表!W242</f>
        <v>○</v>
      </c>
      <c r="M243" s="36">
        <f>配置表!X242</f>
        <v>0</v>
      </c>
      <c r="N243" s="33" t="str">
        <f>配置表!Y242</f>
        <v>○</v>
      </c>
      <c r="O243" s="32">
        <f>配置表!Z242</f>
        <v>5</v>
      </c>
      <c r="P243" s="33" t="str">
        <f>配置表!AA242</f>
        <v>○</v>
      </c>
      <c r="Q243" s="227">
        <f>配置表!AB242</f>
        <v>0.41666666666666669</v>
      </c>
      <c r="R243" s="227">
        <f>配置表!AC242</f>
        <v>0.70833333333333337</v>
      </c>
      <c r="S243" s="238" t="str">
        <f>配置表!AD242</f>
        <v/>
      </c>
      <c r="T243" s="63"/>
      <c r="U243" s="152"/>
      <c r="V243" s="155"/>
      <c r="W243" s="155"/>
      <c r="X243" s="153"/>
      <c r="Y243" s="158"/>
      <c r="Z243" s="182">
        <f>COUNTIF(H239:H269,V243)</f>
        <v>0</v>
      </c>
      <c r="AA243" s="154">
        <f t="shared" si="14"/>
        <v>0</v>
      </c>
      <c r="AB243" s="182"/>
      <c r="AC243" s="183">
        <f t="shared" si="15"/>
        <v>0</v>
      </c>
    </row>
    <row r="244" spans="1:30" ht="13.5">
      <c r="A244" s="28" t="str">
        <f>配置表!L243</f>
        <v/>
      </c>
      <c r="B244" s="9">
        <f>配置表!M243</f>
        <v>45967</v>
      </c>
      <c r="C244" s="10" t="str">
        <f>配置表!N243</f>
        <v>木</v>
      </c>
      <c r="D244" s="63" t="str">
        <f>配置表!O243</f>
        <v>秋　特別展</v>
      </c>
      <c r="E244" s="63" t="str">
        <f>配置表!P243</f>
        <v>テーマ展</v>
      </c>
      <c r="F244" s="45" t="str">
        <f>配置表!Q243</f>
        <v>○</v>
      </c>
      <c r="G244" s="45">
        <f>配置表!R243</f>
        <v>0</v>
      </c>
      <c r="H244" s="10" t="str">
        <f>配置表!S243</f>
        <v/>
      </c>
      <c r="I244" s="45">
        <f>配置表!T243</f>
        <v>0</v>
      </c>
      <c r="J244" s="10" t="str">
        <f>配置表!U243</f>
        <v>●</v>
      </c>
      <c r="K244" s="217">
        <f>配置表!V243</f>
        <v>0</v>
      </c>
      <c r="L244" s="33" t="str">
        <f>配置表!W243</f>
        <v>○</v>
      </c>
      <c r="M244" s="36">
        <f>配置表!X243</f>
        <v>0</v>
      </c>
      <c r="N244" s="33" t="str">
        <f>配置表!Y243</f>
        <v>○</v>
      </c>
      <c r="O244" s="32">
        <f>配置表!Z243</f>
        <v>5</v>
      </c>
      <c r="P244" s="33" t="str">
        <f>配置表!AA243</f>
        <v>○</v>
      </c>
      <c r="Q244" s="227">
        <f>配置表!AB243</f>
        <v>0.41666666666666669</v>
      </c>
      <c r="R244" s="227">
        <f>配置表!AC243</f>
        <v>0.70833333333333337</v>
      </c>
      <c r="S244" s="238" t="str">
        <f>配置表!AD243</f>
        <v/>
      </c>
      <c r="T244" s="63"/>
      <c r="U244" s="152" t="s">
        <v>90</v>
      </c>
      <c r="V244" s="155" t="s">
        <v>46</v>
      </c>
      <c r="W244" s="155" t="s">
        <v>142</v>
      </c>
      <c r="X244" s="191">
        <v>6.75</v>
      </c>
      <c r="Y244" s="158">
        <v>1</v>
      </c>
      <c r="Z244" s="182">
        <f>COUNTIF(J239:J269,V244)</f>
        <v>26</v>
      </c>
      <c r="AA244" s="154">
        <f t="shared" si="14"/>
        <v>175.5</v>
      </c>
      <c r="AB244" s="182">
        <f>AB$13</f>
        <v>0</v>
      </c>
      <c r="AC244" s="183">
        <f t="shared" si="15"/>
        <v>0</v>
      </c>
    </row>
    <row r="245" spans="1:30" ht="13.5">
      <c r="A245" s="28" t="str">
        <f>配置表!L244</f>
        <v/>
      </c>
      <c r="B245" s="9">
        <f>配置表!M244</f>
        <v>45968</v>
      </c>
      <c r="C245" s="10" t="str">
        <f>配置表!N244</f>
        <v>金</v>
      </c>
      <c r="D245" s="63" t="str">
        <f>配置表!O244</f>
        <v>秋　特別展</v>
      </c>
      <c r="E245" s="63" t="str">
        <f>配置表!P244</f>
        <v>テーマ展</v>
      </c>
      <c r="F245" s="45" t="str">
        <f>配置表!Q244</f>
        <v>○</v>
      </c>
      <c r="G245" s="45">
        <f>配置表!R244</f>
        <v>0</v>
      </c>
      <c r="H245" s="10" t="str">
        <f>配置表!S244</f>
        <v/>
      </c>
      <c r="I245" s="45">
        <f>配置表!T244</f>
        <v>0</v>
      </c>
      <c r="J245" s="10" t="str">
        <f>配置表!U244</f>
        <v>●</v>
      </c>
      <c r="K245" s="217">
        <f>配置表!V244</f>
        <v>0</v>
      </c>
      <c r="L245" s="33" t="str">
        <f>配置表!W244</f>
        <v>○</v>
      </c>
      <c r="M245" s="36">
        <f>配置表!X244</f>
        <v>0</v>
      </c>
      <c r="N245" s="33" t="str">
        <f>配置表!Y244</f>
        <v>○</v>
      </c>
      <c r="O245" s="32">
        <f>配置表!Z244</f>
        <v>5</v>
      </c>
      <c r="P245" s="33" t="str">
        <f>配置表!AA244</f>
        <v>○</v>
      </c>
      <c r="Q245" s="227">
        <f>配置表!AB244</f>
        <v>0.41666666666666669</v>
      </c>
      <c r="R245" s="227">
        <f>配置表!AC244</f>
        <v>0.70833333333333337</v>
      </c>
      <c r="S245" s="238" t="str">
        <f>配置表!AD244</f>
        <v/>
      </c>
      <c r="T245" s="63"/>
      <c r="U245" s="152"/>
      <c r="V245" s="155"/>
      <c r="W245" s="155"/>
      <c r="X245" s="153"/>
      <c r="Y245" s="158"/>
      <c r="Z245" s="182">
        <f>COUNTIF(J239:J269,V245)</f>
        <v>0</v>
      </c>
      <c r="AA245" s="154">
        <f t="shared" si="14"/>
        <v>0</v>
      </c>
      <c r="AB245" s="182"/>
      <c r="AC245" s="183">
        <f t="shared" si="15"/>
        <v>0</v>
      </c>
    </row>
    <row r="246" spans="1:30" ht="13.5">
      <c r="A246" s="28" t="str">
        <f>配置表!L245</f>
        <v/>
      </c>
      <c r="B246" s="9">
        <f>配置表!M245</f>
        <v>45969</v>
      </c>
      <c r="C246" s="10" t="str">
        <f>配置表!N245</f>
        <v>土</v>
      </c>
      <c r="D246" s="63" t="str">
        <f>配置表!O245</f>
        <v>秋　特別展</v>
      </c>
      <c r="E246" s="63" t="str">
        <f>配置表!P245</f>
        <v>テーマ展</v>
      </c>
      <c r="F246" s="45" t="str">
        <f>配置表!Q245</f>
        <v>○</v>
      </c>
      <c r="G246" s="45">
        <f>配置表!R245</f>
        <v>0</v>
      </c>
      <c r="H246" s="10" t="str">
        <f>配置表!S245</f>
        <v>○</v>
      </c>
      <c r="I246" s="45">
        <f>配置表!T245</f>
        <v>0</v>
      </c>
      <c r="J246" s="10" t="str">
        <f>配置表!U245</f>
        <v>●</v>
      </c>
      <c r="K246" s="217">
        <f>配置表!V245</f>
        <v>0</v>
      </c>
      <c r="L246" s="33" t="str">
        <f>配置表!W245</f>
        <v>◎</v>
      </c>
      <c r="M246" s="36">
        <f>配置表!X245</f>
        <v>0</v>
      </c>
      <c r="N246" s="33" t="str">
        <f>配置表!Y245</f>
        <v>○</v>
      </c>
      <c r="O246" s="32">
        <f>配置表!Z245</f>
        <v>5</v>
      </c>
      <c r="P246" s="33" t="str">
        <f>配置表!AA245</f>
        <v>○</v>
      </c>
      <c r="Q246" s="227">
        <f>配置表!AB245</f>
        <v>0.41666666666666669</v>
      </c>
      <c r="R246" s="227">
        <f>配置表!AC245</f>
        <v>0.70833333333333337</v>
      </c>
      <c r="S246" s="238" t="str">
        <f>配置表!AD245</f>
        <v/>
      </c>
      <c r="T246" s="63"/>
      <c r="U246" s="152" t="s">
        <v>91</v>
      </c>
      <c r="V246" s="155" t="s">
        <v>66</v>
      </c>
      <c r="W246" s="155" t="s">
        <v>141</v>
      </c>
      <c r="X246" s="191">
        <v>5.25</v>
      </c>
      <c r="Y246" s="158">
        <v>1</v>
      </c>
      <c r="Z246" s="186">
        <f>COUNTIF(L239:L269,V246)</f>
        <v>11</v>
      </c>
      <c r="AA246" s="154">
        <f t="shared" si="14"/>
        <v>57.75</v>
      </c>
      <c r="AB246" s="182">
        <f>AB$15</f>
        <v>0</v>
      </c>
      <c r="AC246" s="183">
        <f t="shared" si="15"/>
        <v>0</v>
      </c>
    </row>
    <row r="247" spans="1:30" ht="13.5">
      <c r="A247" s="28" t="str">
        <f>配置表!L246</f>
        <v/>
      </c>
      <c r="B247" s="9">
        <f>配置表!M246</f>
        <v>45970</v>
      </c>
      <c r="C247" s="10" t="str">
        <f>配置表!N246</f>
        <v>日</v>
      </c>
      <c r="D247" s="63" t="str">
        <f>配置表!O246</f>
        <v>秋　特別展</v>
      </c>
      <c r="E247" s="63" t="str">
        <f>配置表!P246</f>
        <v>テーマ展</v>
      </c>
      <c r="F247" s="45" t="str">
        <f>配置表!Q246</f>
        <v>○</v>
      </c>
      <c r="G247" s="45">
        <f>配置表!R246</f>
        <v>0</v>
      </c>
      <c r="H247" s="10" t="str">
        <f>配置表!S246</f>
        <v>○</v>
      </c>
      <c r="I247" s="45">
        <f>配置表!T246</f>
        <v>0</v>
      </c>
      <c r="J247" s="10" t="str">
        <f>配置表!U246</f>
        <v>●</v>
      </c>
      <c r="K247" s="217">
        <f>配置表!V246</f>
        <v>0</v>
      </c>
      <c r="L247" s="33" t="str">
        <f>配置表!W246</f>
        <v>◎</v>
      </c>
      <c r="M247" s="36">
        <f>配置表!X246</f>
        <v>0</v>
      </c>
      <c r="N247" s="33" t="str">
        <f>配置表!Y246</f>
        <v>○</v>
      </c>
      <c r="O247" s="32">
        <f>配置表!Z246</f>
        <v>5</v>
      </c>
      <c r="P247" s="33" t="str">
        <f>配置表!AA246</f>
        <v>○</v>
      </c>
      <c r="Q247" s="227">
        <f>配置表!AB246</f>
        <v>0.41666666666666669</v>
      </c>
      <c r="R247" s="227">
        <f>配置表!AC246</f>
        <v>0.70833333333333337</v>
      </c>
      <c r="S247" s="238" t="str">
        <f>配置表!AD246</f>
        <v/>
      </c>
      <c r="T247" s="63"/>
      <c r="U247" s="152" t="s">
        <v>18</v>
      </c>
      <c r="V247" s="155" t="s">
        <v>15</v>
      </c>
      <c r="W247" s="155" t="s">
        <v>153</v>
      </c>
      <c r="X247" s="153">
        <v>5</v>
      </c>
      <c r="Y247" s="158">
        <v>1</v>
      </c>
      <c r="Z247" s="186">
        <f>COUNTIF(L239:L269,V247)</f>
        <v>10</v>
      </c>
      <c r="AA247" s="154">
        <f t="shared" si="14"/>
        <v>50</v>
      </c>
      <c r="AB247" s="182">
        <f>AB$16</f>
        <v>0</v>
      </c>
      <c r="AC247" s="183">
        <f t="shared" si="15"/>
        <v>0</v>
      </c>
    </row>
    <row r="248" spans="1:30" ht="13.5">
      <c r="A248" s="28" t="str">
        <f>配置表!L247</f>
        <v>閉</v>
      </c>
      <c r="B248" s="9">
        <f>配置表!M247</f>
        <v>45971</v>
      </c>
      <c r="C248" s="10" t="str">
        <f>配置表!N247</f>
        <v>月</v>
      </c>
      <c r="D248" s="63" t="str">
        <f>配置表!O247</f>
        <v>秋　特別展</v>
      </c>
      <c r="E248" s="63" t="str">
        <f>配置表!P247</f>
        <v>テーマ展</v>
      </c>
      <c r="F248" s="44" t="str">
        <f>配置表!Q247</f>
        <v>休</v>
      </c>
      <c r="G248" s="45">
        <f>配置表!R247</f>
        <v>0</v>
      </c>
      <c r="H248" s="10" t="str">
        <f>配置表!S247</f>
        <v>休</v>
      </c>
      <c r="I248" s="217">
        <f>配置表!T247</f>
        <v>0</v>
      </c>
      <c r="J248" s="33" t="str">
        <f>配置表!U247</f>
        <v>休</v>
      </c>
      <c r="K248" s="217">
        <f>配置表!V247</f>
        <v>0</v>
      </c>
      <c r="L248" s="33" t="str">
        <f>配置表!W247</f>
        <v>休</v>
      </c>
      <c r="M248" s="36">
        <f>配置表!X247</f>
        <v>0</v>
      </c>
      <c r="N248" s="33" t="str">
        <f>配置表!Y247</f>
        <v>休</v>
      </c>
      <c r="O248" s="32" t="str">
        <f>配置表!Z247</f>
        <v/>
      </c>
      <c r="P248" s="33" t="str">
        <f>配置表!AA247</f>
        <v>休</v>
      </c>
      <c r="Q248" s="227" t="str">
        <f>配置表!AB247</f>
        <v/>
      </c>
      <c r="R248" s="227" t="str">
        <f>配置表!AC247</f>
        <v/>
      </c>
      <c r="S248" s="238" t="str">
        <f>配置表!AD247</f>
        <v/>
      </c>
      <c r="T248" s="63"/>
      <c r="U248" s="152"/>
      <c r="V248" s="155"/>
      <c r="W248" s="155"/>
      <c r="X248" s="153"/>
      <c r="Y248" s="158"/>
      <c r="Z248" s="186">
        <f>COUNTIF(N239:N269,V248)</f>
        <v>0</v>
      </c>
      <c r="AA248" s="154">
        <f t="shared" si="14"/>
        <v>0</v>
      </c>
      <c r="AB248" s="182"/>
      <c r="AC248" s="183">
        <f t="shared" si="15"/>
        <v>0</v>
      </c>
    </row>
    <row r="249" spans="1:30" ht="13.5">
      <c r="A249" s="28" t="str">
        <f>配置表!L248</f>
        <v/>
      </c>
      <c r="B249" s="9">
        <f>配置表!M248</f>
        <v>45972</v>
      </c>
      <c r="C249" s="10" t="str">
        <f>配置表!N248</f>
        <v>火</v>
      </c>
      <c r="D249" s="63" t="str">
        <f>配置表!O248</f>
        <v>秋　特別展</v>
      </c>
      <c r="E249" s="63" t="str">
        <f>配置表!P248</f>
        <v>テーマ展</v>
      </c>
      <c r="F249" s="45" t="str">
        <f>配置表!Q248</f>
        <v>○</v>
      </c>
      <c r="G249" s="45">
        <f>配置表!R248</f>
        <v>0</v>
      </c>
      <c r="H249" s="10" t="str">
        <f>配置表!S248</f>
        <v/>
      </c>
      <c r="I249" s="45">
        <f>配置表!T248</f>
        <v>0</v>
      </c>
      <c r="J249" s="10" t="str">
        <f>配置表!U248</f>
        <v>●</v>
      </c>
      <c r="K249" s="217">
        <f>配置表!V248</f>
        <v>0</v>
      </c>
      <c r="L249" s="33" t="str">
        <f>配置表!W248</f>
        <v>○</v>
      </c>
      <c r="M249" s="36">
        <f>配置表!X248</f>
        <v>0</v>
      </c>
      <c r="N249" s="33" t="str">
        <f>配置表!Y248</f>
        <v>○</v>
      </c>
      <c r="O249" s="32">
        <f>配置表!Z248</f>
        <v>5</v>
      </c>
      <c r="P249" s="33" t="str">
        <f>配置表!AA248</f>
        <v>○</v>
      </c>
      <c r="Q249" s="227">
        <f>配置表!AB248</f>
        <v>0.41666666666666669</v>
      </c>
      <c r="R249" s="227">
        <f>配置表!AC248</f>
        <v>0.70833333333333337</v>
      </c>
      <c r="S249" s="238" t="str">
        <f>配置表!AD248</f>
        <v/>
      </c>
      <c r="T249" s="63"/>
      <c r="U249" s="152"/>
      <c r="V249" s="155"/>
      <c r="W249" s="274"/>
      <c r="X249" s="275"/>
      <c r="Y249" s="158"/>
      <c r="Z249" s="186">
        <f>COUNTIF(N239:N269,V249)</f>
        <v>0</v>
      </c>
      <c r="AA249" s="154">
        <f t="shared" si="14"/>
        <v>0</v>
      </c>
      <c r="AB249" s="182"/>
      <c r="AC249" s="183">
        <f t="shared" si="15"/>
        <v>0</v>
      </c>
    </row>
    <row r="250" spans="1:30" ht="13.5">
      <c r="A250" s="28" t="str">
        <f>配置表!L249</f>
        <v/>
      </c>
      <c r="B250" s="9">
        <f>配置表!M249</f>
        <v>45973</v>
      </c>
      <c r="C250" s="10" t="str">
        <f>配置表!N249</f>
        <v>水</v>
      </c>
      <c r="D250" s="63" t="str">
        <f>配置表!O249</f>
        <v>秋　特別展</v>
      </c>
      <c r="E250" s="63" t="str">
        <f>配置表!P249</f>
        <v>テーマ展</v>
      </c>
      <c r="F250" s="45" t="str">
        <f>配置表!Q249</f>
        <v>○</v>
      </c>
      <c r="G250" s="45">
        <f>配置表!R249</f>
        <v>0</v>
      </c>
      <c r="H250" s="10" t="str">
        <f>配置表!S249</f>
        <v/>
      </c>
      <c r="I250" s="45">
        <f>配置表!T249</f>
        <v>0</v>
      </c>
      <c r="J250" s="10" t="str">
        <f>配置表!U249</f>
        <v>●</v>
      </c>
      <c r="K250" s="217">
        <f>配置表!V249</f>
        <v>0</v>
      </c>
      <c r="L250" s="33" t="str">
        <f>配置表!W249</f>
        <v>○</v>
      </c>
      <c r="M250" s="36">
        <f>配置表!X249</f>
        <v>0</v>
      </c>
      <c r="N250" s="33" t="str">
        <f>配置表!Y249</f>
        <v>○</v>
      </c>
      <c r="O250" s="32">
        <f>配置表!Z249</f>
        <v>5</v>
      </c>
      <c r="P250" s="33" t="str">
        <f>配置表!AA249</f>
        <v>○</v>
      </c>
      <c r="Q250" s="227">
        <f>配置表!AB249</f>
        <v>0.41666666666666669</v>
      </c>
      <c r="R250" s="227">
        <f>配置表!AC249</f>
        <v>0.70833333333333337</v>
      </c>
      <c r="S250" s="238" t="str">
        <f>配置表!AD249</f>
        <v/>
      </c>
      <c r="T250" s="63"/>
      <c r="U250" s="152" t="s">
        <v>19</v>
      </c>
      <c r="V250" s="155" t="s">
        <v>66</v>
      </c>
      <c r="W250" s="274" t="s">
        <v>127</v>
      </c>
      <c r="X250" s="275">
        <v>7.5</v>
      </c>
      <c r="Y250" s="158">
        <v>1</v>
      </c>
      <c r="Z250" s="186">
        <f>COUNTIF(N239:N269,V250)</f>
        <v>26</v>
      </c>
      <c r="AA250" s="154">
        <f t="shared" si="14"/>
        <v>195</v>
      </c>
      <c r="AB250" s="182">
        <f>AB$19</f>
        <v>0</v>
      </c>
      <c r="AC250" s="183">
        <f t="shared" si="15"/>
        <v>0</v>
      </c>
    </row>
    <row r="251" spans="1:30" ht="13.5">
      <c r="A251" s="28" t="str">
        <f>配置表!L250</f>
        <v/>
      </c>
      <c r="B251" s="9">
        <f>配置表!M250</f>
        <v>45974</v>
      </c>
      <c r="C251" s="10" t="str">
        <f>配置表!N250</f>
        <v>木</v>
      </c>
      <c r="D251" s="63" t="str">
        <f>配置表!O250</f>
        <v>秋　特別展</v>
      </c>
      <c r="E251" s="63" t="str">
        <f>配置表!P250</f>
        <v>テーマ展</v>
      </c>
      <c r="F251" s="45" t="str">
        <f>配置表!Q250</f>
        <v>○</v>
      </c>
      <c r="G251" s="45">
        <f>配置表!R250</f>
        <v>0</v>
      </c>
      <c r="H251" s="10" t="str">
        <f>配置表!S250</f>
        <v/>
      </c>
      <c r="I251" s="45">
        <f>配置表!T250</f>
        <v>0</v>
      </c>
      <c r="J251" s="10" t="str">
        <f>配置表!U250</f>
        <v>●</v>
      </c>
      <c r="K251" s="32">
        <f>配置表!V250</f>
        <v>0</v>
      </c>
      <c r="L251" s="33" t="str">
        <f>配置表!W250</f>
        <v>○</v>
      </c>
      <c r="M251" s="32">
        <f>配置表!X250</f>
        <v>0</v>
      </c>
      <c r="N251" s="33" t="str">
        <f>配置表!Y250</f>
        <v>○</v>
      </c>
      <c r="O251" s="32">
        <f>配置表!Z250</f>
        <v>5</v>
      </c>
      <c r="P251" s="33" t="str">
        <f>配置表!AA250</f>
        <v>○</v>
      </c>
      <c r="Q251" s="227">
        <f>配置表!AB250</f>
        <v>0.41666666666666669</v>
      </c>
      <c r="R251" s="227">
        <f>配置表!AC250</f>
        <v>0.70833333333333337</v>
      </c>
      <c r="S251" s="238" t="str">
        <f>配置表!AD250</f>
        <v/>
      </c>
      <c r="T251" s="63"/>
      <c r="U251" s="152"/>
      <c r="V251" s="155"/>
      <c r="W251" s="155"/>
      <c r="X251" s="153"/>
      <c r="Y251" s="158"/>
      <c r="Z251" s="186">
        <f>COUNTIF(P239:P269,V251)</f>
        <v>0</v>
      </c>
      <c r="AA251" s="154">
        <f t="shared" si="14"/>
        <v>0</v>
      </c>
      <c r="AB251" s="182"/>
      <c r="AC251" s="183">
        <f t="shared" si="15"/>
        <v>0</v>
      </c>
    </row>
    <row r="252" spans="1:30" ht="13.5">
      <c r="A252" s="28" t="str">
        <f>配置表!L251</f>
        <v/>
      </c>
      <c r="B252" s="9">
        <f>配置表!M251</f>
        <v>45975</v>
      </c>
      <c r="C252" s="10" t="str">
        <f>配置表!N251</f>
        <v>金</v>
      </c>
      <c r="D252" s="63" t="str">
        <f>配置表!O251</f>
        <v>秋　特別展</v>
      </c>
      <c r="E252" s="63" t="str">
        <f>配置表!P251</f>
        <v>テーマ展</v>
      </c>
      <c r="F252" s="45" t="str">
        <f>配置表!Q251</f>
        <v>○</v>
      </c>
      <c r="G252" s="45">
        <f>配置表!R251</f>
        <v>0</v>
      </c>
      <c r="H252" s="10" t="str">
        <f>配置表!S251</f>
        <v/>
      </c>
      <c r="I252" s="45">
        <f>配置表!T251</f>
        <v>0</v>
      </c>
      <c r="J252" s="10" t="str">
        <f>配置表!U251</f>
        <v>●</v>
      </c>
      <c r="K252" s="32">
        <f>配置表!V251</f>
        <v>0</v>
      </c>
      <c r="L252" s="33" t="str">
        <f>配置表!W251</f>
        <v>○</v>
      </c>
      <c r="M252" s="32">
        <f>配置表!X251</f>
        <v>0</v>
      </c>
      <c r="N252" s="33" t="str">
        <f>配置表!Y251</f>
        <v>○</v>
      </c>
      <c r="O252" s="32">
        <f>配置表!Z251</f>
        <v>5</v>
      </c>
      <c r="P252" s="33" t="str">
        <f>配置表!AA251</f>
        <v>○</v>
      </c>
      <c r="Q252" s="227">
        <f>配置表!AB251</f>
        <v>0.41666666666666669</v>
      </c>
      <c r="R252" s="227">
        <f>配置表!AC251</f>
        <v>0.70833333333333337</v>
      </c>
      <c r="S252" s="238" t="str">
        <f>配置表!AD251</f>
        <v/>
      </c>
      <c r="T252" s="63"/>
      <c r="U252" s="152"/>
      <c r="V252" s="155"/>
      <c r="W252" s="274"/>
      <c r="X252" s="275"/>
      <c r="Y252" s="158"/>
      <c r="Z252" s="182">
        <f>COUNTIF(P239:P269,V252)</f>
        <v>0</v>
      </c>
      <c r="AA252" s="154">
        <f t="shared" si="14"/>
        <v>0</v>
      </c>
      <c r="AB252" s="182"/>
      <c r="AC252" s="183">
        <f t="shared" si="15"/>
        <v>0</v>
      </c>
    </row>
    <row r="253" spans="1:30" ht="13.5">
      <c r="A253" s="28" t="str">
        <f>配置表!L252</f>
        <v/>
      </c>
      <c r="B253" s="9">
        <f>配置表!M252</f>
        <v>45976</v>
      </c>
      <c r="C253" s="10" t="str">
        <f>配置表!N252</f>
        <v>土</v>
      </c>
      <c r="D253" s="63" t="str">
        <f>配置表!O252</f>
        <v>秋　特別展</v>
      </c>
      <c r="E253" s="63" t="str">
        <f>配置表!P252</f>
        <v>テーマ展</v>
      </c>
      <c r="F253" s="45" t="str">
        <f>配置表!Q252</f>
        <v>○</v>
      </c>
      <c r="G253" s="45">
        <f>配置表!R252</f>
        <v>0</v>
      </c>
      <c r="H253" s="10" t="str">
        <f>配置表!S252</f>
        <v>○</v>
      </c>
      <c r="I253" s="45">
        <f>配置表!T252</f>
        <v>0</v>
      </c>
      <c r="J253" s="10" t="str">
        <f>配置表!U252</f>
        <v>●</v>
      </c>
      <c r="K253" s="32">
        <f>配置表!V252</f>
        <v>0</v>
      </c>
      <c r="L253" s="33" t="str">
        <f>配置表!W252</f>
        <v>◎</v>
      </c>
      <c r="M253" s="32">
        <f>配置表!X252</f>
        <v>0</v>
      </c>
      <c r="N253" s="33" t="str">
        <f>配置表!Y252</f>
        <v>○</v>
      </c>
      <c r="O253" s="32">
        <f>配置表!Z252</f>
        <v>5</v>
      </c>
      <c r="P253" s="33" t="str">
        <f>配置表!AA252</f>
        <v>○</v>
      </c>
      <c r="Q253" s="227">
        <f>配置表!AB252</f>
        <v>0.41666666666666669</v>
      </c>
      <c r="R253" s="227">
        <f>配置表!AC252</f>
        <v>0.70833333333333337</v>
      </c>
      <c r="S253" s="238" t="str">
        <f>配置表!AD252</f>
        <v/>
      </c>
      <c r="T253" s="63"/>
      <c r="U253" s="152" t="s">
        <v>69</v>
      </c>
      <c r="V253" s="155" t="s">
        <v>66</v>
      </c>
      <c r="W253" s="274" t="s">
        <v>127</v>
      </c>
      <c r="X253" s="275">
        <v>7.5</v>
      </c>
      <c r="Y253" s="158">
        <v>5</v>
      </c>
      <c r="Z253" s="182">
        <f>COUNTIF(P239:P269,V253)</f>
        <v>21</v>
      </c>
      <c r="AA253" s="154">
        <f t="shared" si="14"/>
        <v>787.5</v>
      </c>
      <c r="AB253" s="182">
        <f>AB$22</f>
        <v>0</v>
      </c>
      <c r="AC253" s="183">
        <f t="shared" si="15"/>
        <v>0</v>
      </c>
    </row>
    <row r="254" spans="1:30" ht="13.5">
      <c r="A254" s="28" t="str">
        <f>配置表!L253</f>
        <v/>
      </c>
      <c r="B254" s="9">
        <f>配置表!M253</f>
        <v>45977</v>
      </c>
      <c r="C254" s="10" t="str">
        <f>配置表!N253</f>
        <v>日</v>
      </c>
      <c r="D254" s="63" t="str">
        <f>配置表!O253</f>
        <v>秋　特別展</v>
      </c>
      <c r="E254" s="63" t="str">
        <f>配置表!P253</f>
        <v>テーマ展</v>
      </c>
      <c r="F254" s="45" t="str">
        <f>配置表!Q253</f>
        <v>○</v>
      </c>
      <c r="G254" s="45">
        <f>配置表!R253</f>
        <v>0</v>
      </c>
      <c r="H254" s="10" t="str">
        <f>配置表!S253</f>
        <v>○</v>
      </c>
      <c r="I254" s="45">
        <f>配置表!T253</f>
        <v>0</v>
      </c>
      <c r="J254" s="10" t="str">
        <f>配置表!U253</f>
        <v>●</v>
      </c>
      <c r="K254" s="32">
        <f>配置表!V253</f>
        <v>0</v>
      </c>
      <c r="L254" s="33" t="str">
        <f>配置表!W253</f>
        <v>◎</v>
      </c>
      <c r="M254" s="32">
        <f>配置表!X253</f>
        <v>0</v>
      </c>
      <c r="N254" s="33" t="str">
        <f>配置表!Y253</f>
        <v>○</v>
      </c>
      <c r="O254" s="32">
        <f>配置表!Z253</f>
        <v>5</v>
      </c>
      <c r="P254" s="33" t="str">
        <f>配置表!AA253</f>
        <v>○</v>
      </c>
      <c r="Q254" s="227">
        <f>配置表!AB253</f>
        <v>0.41666666666666669</v>
      </c>
      <c r="R254" s="227">
        <f>配置表!AC253</f>
        <v>0.70833333333333337</v>
      </c>
      <c r="S254" s="238" t="str">
        <f>配置表!AD253</f>
        <v/>
      </c>
      <c r="T254" s="63"/>
      <c r="U254" s="187" t="s">
        <v>69</v>
      </c>
      <c r="V254" s="155" t="s">
        <v>75</v>
      </c>
      <c r="W254" s="274" t="s">
        <v>127</v>
      </c>
      <c r="X254" s="275">
        <v>7.5</v>
      </c>
      <c r="Y254" s="158">
        <v>1</v>
      </c>
      <c r="Z254" s="186">
        <f>COUNTIF(P239:P269,V254)+Z255</f>
        <v>5</v>
      </c>
      <c r="AA254" s="154">
        <f t="shared" si="14"/>
        <v>37.5</v>
      </c>
      <c r="AB254" s="182">
        <f>AB$56</f>
        <v>0</v>
      </c>
      <c r="AC254" s="183">
        <f t="shared" si="15"/>
        <v>0</v>
      </c>
      <c r="AD254" s="1" t="s">
        <v>95</v>
      </c>
    </row>
    <row r="255" spans="1:30" ht="13.5">
      <c r="A255" s="28" t="str">
        <f>配置表!L254</f>
        <v>閉</v>
      </c>
      <c r="B255" s="9">
        <f>配置表!M254</f>
        <v>45978</v>
      </c>
      <c r="C255" s="10" t="str">
        <f>配置表!N254</f>
        <v>月</v>
      </c>
      <c r="D255" s="63" t="str">
        <f>配置表!O254</f>
        <v>秋　特別展</v>
      </c>
      <c r="E255" s="63" t="str">
        <f>配置表!P254</f>
        <v>テーマ展</v>
      </c>
      <c r="F255" s="44" t="str">
        <f>配置表!Q254</f>
        <v>休</v>
      </c>
      <c r="G255" s="32">
        <f>配置表!R254</f>
        <v>0</v>
      </c>
      <c r="H255" s="10" t="str">
        <f>配置表!S254</f>
        <v>休</v>
      </c>
      <c r="I255" s="32">
        <f>配置表!T254</f>
        <v>0</v>
      </c>
      <c r="J255" s="33" t="str">
        <f>配置表!U254</f>
        <v>休</v>
      </c>
      <c r="K255" s="32">
        <f>配置表!V254</f>
        <v>0</v>
      </c>
      <c r="L255" s="33" t="str">
        <f>配置表!W254</f>
        <v>休</v>
      </c>
      <c r="M255" s="32">
        <f>配置表!X254</f>
        <v>0</v>
      </c>
      <c r="N255" s="33" t="str">
        <f>配置表!Y254</f>
        <v>休</v>
      </c>
      <c r="O255" s="32" t="str">
        <f>配置表!Z254</f>
        <v/>
      </c>
      <c r="P255" s="33" t="str">
        <f>配置表!AA254</f>
        <v>休</v>
      </c>
      <c r="Q255" s="227" t="str">
        <f>配置表!AB254</f>
        <v/>
      </c>
      <c r="R255" s="227" t="str">
        <f>配置表!AC254</f>
        <v/>
      </c>
      <c r="S255" s="238" t="str">
        <f>配置表!AD254</f>
        <v/>
      </c>
      <c r="T255" s="63"/>
      <c r="U255" s="152" t="s">
        <v>69</v>
      </c>
      <c r="V255" s="155" t="s">
        <v>93</v>
      </c>
      <c r="W255" s="155" t="s">
        <v>154</v>
      </c>
      <c r="X255" s="191">
        <v>2.75</v>
      </c>
      <c r="Y255" s="158">
        <v>4</v>
      </c>
      <c r="Z255" s="186">
        <f>COUNTIF(P239:P269,V255)</f>
        <v>0</v>
      </c>
      <c r="AA255" s="154">
        <f t="shared" si="14"/>
        <v>0</v>
      </c>
      <c r="AB255" s="182"/>
      <c r="AC255" s="183">
        <f t="shared" si="15"/>
        <v>0</v>
      </c>
    </row>
    <row r="256" spans="1:30" ht="13.5">
      <c r="A256" s="28" t="str">
        <f>配置表!L255</f>
        <v/>
      </c>
      <c r="B256" s="9">
        <f>配置表!M255</f>
        <v>45979</v>
      </c>
      <c r="C256" s="10" t="str">
        <f>配置表!N255</f>
        <v>火</v>
      </c>
      <c r="D256" s="63" t="str">
        <f>配置表!O255</f>
        <v>秋　特別展</v>
      </c>
      <c r="E256" s="63" t="str">
        <f>配置表!P255</f>
        <v>テーマ展</v>
      </c>
      <c r="F256" s="45" t="str">
        <f>配置表!Q255</f>
        <v>○</v>
      </c>
      <c r="G256" s="45">
        <f>配置表!R255</f>
        <v>0</v>
      </c>
      <c r="H256" s="10" t="str">
        <f>配置表!S255</f>
        <v/>
      </c>
      <c r="I256" s="45">
        <f>配置表!T255</f>
        <v>0</v>
      </c>
      <c r="J256" s="10" t="str">
        <f>配置表!U255</f>
        <v>●</v>
      </c>
      <c r="K256" s="32">
        <f>配置表!V255</f>
        <v>0</v>
      </c>
      <c r="L256" s="33" t="str">
        <f>配置表!W255</f>
        <v>○</v>
      </c>
      <c r="M256" s="32">
        <f>配置表!X255</f>
        <v>0</v>
      </c>
      <c r="N256" s="33" t="str">
        <f>配置表!Y255</f>
        <v>○</v>
      </c>
      <c r="O256" s="32">
        <f>配置表!Z255</f>
        <v>5</v>
      </c>
      <c r="P256" s="33" t="str">
        <f>配置表!AA255</f>
        <v>○</v>
      </c>
      <c r="Q256" s="227">
        <f>配置表!AB255</f>
        <v>0.41666666666666669</v>
      </c>
      <c r="R256" s="227">
        <f>配置表!AC255</f>
        <v>0.70833333333333337</v>
      </c>
      <c r="S256" s="238" t="str">
        <f>配置表!AD255</f>
        <v/>
      </c>
      <c r="T256" s="63"/>
      <c r="U256" s="159" t="s">
        <v>64</v>
      </c>
      <c r="V256" s="160"/>
      <c r="W256" s="160"/>
      <c r="X256" s="188"/>
      <c r="Y256" s="188"/>
      <c r="Z256" s="189">
        <f>SUM(Z239:Z255)</f>
        <v>135</v>
      </c>
      <c r="AA256" s="190">
        <f>SUM(AA239:AA255)</f>
        <v>1576.75</v>
      </c>
      <c r="AB256" s="182"/>
      <c r="AC256" s="183">
        <f>SUM(AC239:AC255)</f>
        <v>0</v>
      </c>
    </row>
    <row r="257" spans="1:29" ht="14.25" thickBot="1">
      <c r="A257" s="28" t="str">
        <f>配置表!L256</f>
        <v/>
      </c>
      <c r="B257" s="9">
        <f>配置表!M256</f>
        <v>45980</v>
      </c>
      <c r="C257" s="10" t="str">
        <f>配置表!N256</f>
        <v>水</v>
      </c>
      <c r="D257" s="63" t="str">
        <f>配置表!O256</f>
        <v>秋　特別展</v>
      </c>
      <c r="E257" s="63" t="str">
        <f>配置表!P256</f>
        <v>テーマ展</v>
      </c>
      <c r="F257" s="45" t="str">
        <f>配置表!Q256</f>
        <v>○</v>
      </c>
      <c r="G257" s="45">
        <f>配置表!R256</f>
        <v>0</v>
      </c>
      <c r="H257" s="10" t="str">
        <f>配置表!S256</f>
        <v/>
      </c>
      <c r="I257" s="45">
        <f>配置表!T256</f>
        <v>0</v>
      </c>
      <c r="J257" s="10" t="str">
        <f>配置表!U256</f>
        <v>●</v>
      </c>
      <c r="K257" s="32">
        <f>配置表!V256</f>
        <v>0</v>
      </c>
      <c r="L257" s="33" t="str">
        <f>配置表!W256</f>
        <v>○</v>
      </c>
      <c r="M257" s="32">
        <f>配置表!X256</f>
        <v>0</v>
      </c>
      <c r="N257" s="33" t="str">
        <f>配置表!Y256</f>
        <v>○</v>
      </c>
      <c r="O257" s="32">
        <f>配置表!Z256</f>
        <v>5</v>
      </c>
      <c r="P257" s="33" t="str">
        <f>配置表!AA256</f>
        <v>○</v>
      </c>
      <c r="Q257" s="227">
        <f>配置表!AB256</f>
        <v>0.41666666666666669</v>
      </c>
      <c r="R257" s="227">
        <f>配置表!AC256</f>
        <v>0.70833333333333337</v>
      </c>
      <c r="S257" s="238" t="str">
        <f>配置表!AD256</f>
        <v/>
      </c>
      <c r="T257" s="63"/>
      <c r="U257" s="178" t="s">
        <v>65</v>
      </c>
      <c r="V257" s="179"/>
      <c r="W257" s="179"/>
      <c r="X257" s="180"/>
      <c r="Y257" s="180"/>
      <c r="Z257" s="180"/>
      <c r="AA257" s="170"/>
      <c r="AB257" s="184"/>
      <c r="AC257" s="185">
        <f>ROUNDDOWN(AC256*1.1,0)</f>
        <v>0</v>
      </c>
    </row>
    <row r="258" spans="1:29">
      <c r="A258" s="28" t="str">
        <f>配置表!L257</f>
        <v/>
      </c>
      <c r="B258" s="9">
        <f>配置表!M257</f>
        <v>45981</v>
      </c>
      <c r="C258" s="10" t="str">
        <f>配置表!N257</f>
        <v>木</v>
      </c>
      <c r="D258" s="63" t="str">
        <f>配置表!O257</f>
        <v>秋　特別展</v>
      </c>
      <c r="E258" s="63" t="str">
        <f>配置表!P257</f>
        <v>テーマ展</v>
      </c>
      <c r="F258" s="45" t="str">
        <f>配置表!Q257</f>
        <v>○</v>
      </c>
      <c r="G258" s="45">
        <f>配置表!R257</f>
        <v>0</v>
      </c>
      <c r="H258" s="10" t="str">
        <f>配置表!S257</f>
        <v/>
      </c>
      <c r="I258" s="45">
        <f>配置表!T257</f>
        <v>0</v>
      </c>
      <c r="J258" s="10" t="str">
        <f>配置表!U257</f>
        <v>●</v>
      </c>
      <c r="K258" s="32">
        <f>配置表!V257</f>
        <v>0</v>
      </c>
      <c r="L258" s="33" t="str">
        <f>配置表!W257</f>
        <v>○</v>
      </c>
      <c r="M258" s="32">
        <f>配置表!X257</f>
        <v>0</v>
      </c>
      <c r="N258" s="33" t="str">
        <f>配置表!Y257</f>
        <v>○</v>
      </c>
      <c r="O258" s="32">
        <f>配置表!Z257</f>
        <v>5</v>
      </c>
      <c r="P258" s="33" t="str">
        <f>配置表!AA257</f>
        <v>○</v>
      </c>
      <c r="Q258" s="227">
        <f>配置表!AB257</f>
        <v>0.41666666666666669</v>
      </c>
      <c r="R258" s="227">
        <f>配置表!AC257</f>
        <v>0.70833333333333337</v>
      </c>
      <c r="S258" s="238" t="str">
        <f>配置表!AD257</f>
        <v/>
      </c>
      <c r="T258" s="63"/>
    </row>
    <row r="259" spans="1:29">
      <c r="A259" s="28" t="str">
        <f>配置表!L258</f>
        <v/>
      </c>
      <c r="B259" s="9">
        <f>配置表!M258</f>
        <v>45982</v>
      </c>
      <c r="C259" s="10" t="str">
        <f>配置表!N258</f>
        <v>金</v>
      </c>
      <c r="D259" s="63" t="str">
        <f>配置表!O258</f>
        <v>秋　特別展</v>
      </c>
      <c r="E259" s="63" t="str">
        <f>配置表!P258</f>
        <v>テーマ展</v>
      </c>
      <c r="F259" s="45" t="str">
        <f>配置表!Q258</f>
        <v>○</v>
      </c>
      <c r="G259" s="45">
        <f>配置表!R258</f>
        <v>0</v>
      </c>
      <c r="H259" s="10" t="str">
        <f>配置表!S258</f>
        <v/>
      </c>
      <c r="I259" s="45">
        <f>配置表!T258</f>
        <v>0</v>
      </c>
      <c r="J259" s="10" t="str">
        <f>配置表!U258</f>
        <v>●</v>
      </c>
      <c r="K259" s="32">
        <f>配置表!V258</f>
        <v>0</v>
      </c>
      <c r="L259" s="33" t="str">
        <f>配置表!W258</f>
        <v>○</v>
      </c>
      <c r="M259" s="32">
        <f>配置表!X258</f>
        <v>0</v>
      </c>
      <c r="N259" s="33" t="str">
        <f>配置表!Y258</f>
        <v>○</v>
      </c>
      <c r="O259" s="32">
        <f>配置表!Z258</f>
        <v>5</v>
      </c>
      <c r="P259" s="33" t="str">
        <f>配置表!AA258</f>
        <v>○</v>
      </c>
      <c r="Q259" s="227">
        <f>配置表!AB258</f>
        <v>0.41666666666666669</v>
      </c>
      <c r="R259" s="227">
        <f>配置表!AC258</f>
        <v>0.70833333333333337</v>
      </c>
      <c r="S259" s="238" t="str">
        <f>配置表!AD258</f>
        <v/>
      </c>
      <c r="T259" s="63"/>
      <c r="W259" s="12"/>
    </row>
    <row r="260" spans="1:29">
      <c r="A260" s="28" t="str">
        <f>配置表!L259</f>
        <v/>
      </c>
      <c r="B260" s="9">
        <f>配置表!M259</f>
        <v>45983</v>
      </c>
      <c r="C260" s="10" t="str">
        <f>配置表!N259</f>
        <v>土</v>
      </c>
      <c r="D260" s="63" t="str">
        <f>配置表!O259</f>
        <v>秋　特別展</v>
      </c>
      <c r="E260" s="63" t="str">
        <f>配置表!P259</f>
        <v>テーマ展</v>
      </c>
      <c r="F260" s="45" t="str">
        <f>配置表!Q259</f>
        <v>○</v>
      </c>
      <c r="G260" s="45">
        <f>配置表!R259</f>
        <v>0</v>
      </c>
      <c r="H260" s="10" t="str">
        <f>配置表!S259</f>
        <v>○</v>
      </c>
      <c r="I260" s="45">
        <f>配置表!T259</f>
        <v>0</v>
      </c>
      <c r="J260" s="10" t="str">
        <f>配置表!U259</f>
        <v>●</v>
      </c>
      <c r="K260" s="32">
        <f>配置表!V259</f>
        <v>0</v>
      </c>
      <c r="L260" s="33" t="str">
        <f>配置表!W259</f>
        <v>◎</v>
      </c>
      <c r="M260" s="32">
        <f>配置表!X259</f>
        <v>0</v>
      </c>
      <c r="N260" s="33" t="str">
        <f>配置表!Y259</f>
        <v>○</v>
      </c>
      <c r="O260" s="32">
        <f>配置表!Z259</f>
        <v>5</v>
      </c>
      <c r="P260" s="33" t="str">
        <f>配置表!AA259</f>
        <v>○</v>
      </c>
      <c r="Q260" s="227">
        <f>配置表!AB259</f>
        <v>0.41666666666666669</v>
      </c>
      <c r="R260" s="227">
        <f>配置表!AC259</f>
        <v>0.70833333333333337</v>
      </c>
      <c r="S260" s="238" t="str">
        <f>配置表!AD259</f>
        <v/>
      </c>
      <c r="T260" s="63"/>
    </row>
    <row r="261" spans="1:29">
      <c r="A261" s="28" t="str">
        <f>配置表!L260</f>
        <v/>
      </c>
      <c r="B261" s="9">
        <f>配置表!M260</f>
        <v>45984</v>
      </c>
      <c r="C261" s="10" t="str">
        <f>配置表!N260</f>
        <v>日</v>
      </c>
      <c r="D261" s="63" t="str">
        <f>配置表!O260</f>
        <v>秋　特別展</v>
      </c>
      <c r="E261" s="63" t="str">
        <f>配置表!P260</f>
        <v>テーマ展</v>
      </c>
      <c r="F261" s="45" t="str">
        <f>配置表!Q260</f>
        <v>○</v>
      </c>
      <c r="G261" s="45">
        <f>配置表!R260</f>
        <v>0</v>
      </c>
      <c r="H261" s="10" t="str">
        <f>配置表!S260</f>
        <v>○</v>
      </c>
      <c r="I261" s="45">
        <f>配置表!T260</f>
        <v>0</v>
      </c>
      <c r="J261" s="10" t="str">
        <f>配置表!U260</f>
        <v>●</v>
      </c>
      <c r="K261" s="32">
        <f>配置表!V260</f>
        <v>0</v>
      </c>
      <c r="L261" s="33" t="str">
        <f>配置表!W260</f>
        <v>◎</v>
      </c>
      <c r="M261" s="32">
        <f>配置表!X260</f>
        <v>0</v>
      </c>
      <c r="N261" s="33" t="str">
        <f>配置表!Y260</f>
        <v>○</v>
      </c>
      <c r="O261" s="32">
        <f>配置表!Z260</f>
        <v>5</v>
      </c>
      <c r="P261" s="33" t="str">
        <f>配置表!AA260</f>
        <v>○</v>
      </c>
      <c r="Q261" s="227">
        <f>配置表!AB260</f>
        <v>0.41666666666666669</v>
      </c>
      <c r="R261" s="227">
        <f>配置表!AC260</f>
        <v>0.70833333333333337</v>
      </c>
      <c r="S261" s="238" t="str">
        <f>配置表!AD260</f>
        <v>勤労感謝の日</v>
      </c>
      <c r="T261" s="63"/>
    </row>
    <row r="262" spans="1:29">
      <c r="A262" s="28" t="str">
        <f>配置表!L261</f>
        <v/>
      </c>
      <c r="B262" s="9">
        <f>配置表!M261</f>
        <v>45985</v>
      </c>
      <c r="C262" s="10" t="str">
        <f>配置表!N261</f>
        <v>月</v>
      </c>
      <c r="D262" s="63" t="str">
        <f>配置表!O261</f>
        <v>秋　特別展</v>
      </c>
      <c r="E262" s="63" t="str">
        <f>配置表!P261</f>
        <v>テーマ展</v>
      </c>
      <c r="F262" s="45" t="str">
        <f>配置表!Q261</f>
        <v>○</v>
      </c>
      <c r="G262" s="45">
        <f>配置表!R261</f>
        <v>0</v>
      </c>
      <c r="H262" s="10" t="str">
        <f>配置表!S261</f>
        <v>○</v>
      </c>
      <c r="I262" s="45">
        <f>配置表!T261</f>
        <v>0</v>
      </c>
      <c r="J262" s="10" t="str">
        <f>配置表!U261</f>
        <v>●</v>
      </c>
      <c r="K262" s="32">
        <f>配置表!V261</f>
        <v>0</v>
      </c>
      <c r="L262" s="33" t="str">
        <f>配置表!W261</f>
        <v>◎</v>
      </c>
      <c r="M262" s="32">
        <f>配置表!X261</f>
        <v>0</v>
      </c>
      <c r="N262" s="33" t="str">
        <f>配置表!Y261</f>
        <v>○</v>
      </c>
      <c r="O262" s="32">
        <f>配置表!Z261</f>
        <v>5</v>
      </c>
      <c r="P262" s="33" t="str">
        <f>配置表!AA261</f>
        <v>○</v>
      </c>
      <c r="Q262" s="227">
        <f>配置表!AB261</f>
        <v>0.41666666666666669</v>
      </c>
      <c r="R262" s="227">
        <f>配置表!AC261</f>
        <v>0.70833333333333337</v>
      </c>
      <c r="S262" s="238" t="str">
        <f>配置表!AD261</f>
        <v>振替休日</v>
      </c>
      <c r="T262" s="63"/>
      <c r="U262" s="4"/>
      <c r="V262" s="162"/>
      <c r="W262" s="162"/>
      <c r="X262" s="4"/>
      <c r="Y262" s="4"/>
      <c r="Z262" s="4"/>
      <c r="AA262" s="4"/>
      <c r="AB262" s="4"/>
      <c r="AC262" s="4"/>
    </row>
    <row r="263" spans="1:29" ht="13.5">
      <c r="A263" s="28" t="str">
        <f>配置表!L262</f>
        <v>閉</v>
      </c>
      <c r="B263" s="9">
        <f>配置表!M262</f>
        <v>45986</v>
      </c>
      <c r="C263" s="10" t="str">
        <f>配置表!N262</f>
        <v>火</v>
      </c>
      <c r="D263" s="63" t="str">
        <f>配置表!O262</f>
        <v/>
      </c>
      <c r="E263" s="63" t="str">
        <f>配置表!P262</f>
        <v>テーマ展</v>
      </c>
      <c r="F263" s="44" t="str">
        <f>配置表!Q262</f>
        <v>休</v>
      </c>
      <c r="G263" s="32">
        <f>配置表!R262</f>
        <v>0</v>
      </c>
      <c r="H263" s="33" t="str">
        <f>配置表!S262</f>
        <v>休</v>
      </c>
      <c r="I263" s="32">
        <f>配置表!T262</f>
        <v>0</v>
      </c>
      <c r="J263" s="33" t="str">
        <f>配置表!U262</f>
        <v>休</v>
      </c>
      <c r="K263" s="32">
        <f>配置表!V262</f>
        <v>0</v>
      </c>
      <c r="L263" s="33" t="str">
        <f>配置表!W262</f>
        <v>休</v>
      </c>
      <c r="M263" s="32">
        <f>配置表!X262</f>
        <v>0</v>
      </c>
      <c r="N263" s="33" t="str">
        <f>配置表!Y262</f>
        <v>休</v>
      </c>
      <c r="O263" s="32" t="str">
        <f>配置表!Z262</f>
        <v/>
      </c>
      <c r="P263" s="33" t="str">
        <f>配置表!AA262</f>
        <v>休</v>
      </c>
      <c r="Q263" s="227" t="str">
        <f>配置表!AB262</f>
        <v/>
      </c>
      <c r="R263" s="227" t="str">
        <f>配置表!AC262</f>
        <v/>
      </c>
      <c r="S263" s="238" t="str">
        <f>配置表!AD262</f>
        <v/>
      </c>
      <c r="T263" s="63"/>
      <c r="U263" s="318"/>
      <c r="V263" s="318"/>
      <c r="W263" s="318"/>
      <c r="X263" s="318"/>
      <c r="Y263" s="318"/>
      <c r="Z263" s="318"/>
      <c r="AA263" s="318"/>
      <c r="AB263" s="318"/>
      <c r="AC263" s="318"/>
    </row>
    <row r="264" spans="1:29" ht="13.5">
      <c r="A264" s="28" t="str">
        <f>配置表!L263</f>
        <v/>
      </c>
      <c r="B264" s="9">
        <f>配置表!M263</f>
        <v>45987</v>
      </c>
      <c r="C264" s="10" t="str">
        <f>配置表!N263</f>
        <v>水</v>
      </c>
      <c r="D264" s="63" t="str">
        <f>配置表!O263</f>
        <v/>
      </c>
      <c r="E264" s="63" t="str">
        <f>配置表!P263</f>
        <v>テーマ展</v>
      </c>
      <c r="F264" s="45" t="str">
        <f>配置表!Q263</f>
        <v>○</v>
      </c>
      <c r="G264" s="45">
        <f>配置表!R263</f>
        <v>0</v>
      </c>
      <c r="H264" s="10" t="str">
        <f>配置表!S263</f>
        <v/>
      </c>
      <c r="I264" s="45">
        <f>配置表!T263</f>
        <v>0</v>
      </c>
      <c r="J264" s="10" t="str">
        <f>配置表!U263</f>
        <v>●</v>
      </c>
      <c r="K264" s="32">
        <f>配置表!V263</f>
        <v>0</v>
      </c>
      <c r="L264" s="33" t="str">
        <f>配置表!W263</f>
        <v/>
      </c>
      <c r="M264" s="32">
        <f>配置表!X263</f>
        <v>0</v>
      </c>
      <c r="N264" s="33" t="str">
        <f>配置表!Y263</f>
        <v>○</v>
      </c>
      <c r="O264" s="32">
        <f>配置表!Z263</f>
        <v>1</v>
      </c>
      <c r="P264" s="33" t="str">
        <f>配置表!AA263</f>
        <v>△</v>
      </c>
      <c r="Q264" s="227">
        <f>配置表!AB263</f>
        <v>0.41666666666666669</v>
      </c>
      <c r="R264" s="227">
        <f>配置表!AC263</f>
        <v>0.70833333333333337</v>
      </c>
      <c r="S264" s="238" t="str">
        <f>配置表!AD263</f>
        <v/>
      </c>
      <c r="T264" s="63"/>
      <c r="U264" s="39"/>
      <c r="V264" s="319"/>
      <c r="W264" s="319"/>
      <c r="X264" s="326"/>
      <c r="Y264" s="321"/>
      <c r="Z264" s="26"/>
      <c r="AA264" s="327"/>
      <c r="AB264" s="323"/>
      <c r="AC264" s="323"/>
    </row>
    <row r="265" spans="1:29" ht="13.5">
      <c r="A265" s="28" t="str">
        <f>配置表!L264</f>
        <v/>
      </c>
      <c r="B265" s="9">
        <f>配置表!M264</f>
        <v>45988</v>
      </c>
      <c r="C265" s="10" t="str">
        <f>配置表!N264</f>
        <v>木</v>
      </c>
      <c r="D265" s="63" t="str">
        <f>配置表!O264</f>
        <v/>
      </c>
      <c r="E265" s="63" t="str">
        <f>配置表!P264</f>
        <v>テーマ展</v>
      </c>
      <c r="F265" s="45" t="str">
        <f>配置表!Q264</f>
        <v>○</v>
      </c>
      <c r="G265" s="45">
        <f>配置表!R264</f>
        <v>0</v>
      </c>
      <c r="H265" s="10" t="str">
        <f>配置表!S264</f>
        <v/>
      </c>
      <c r="I265" s="45">
        <f>配置表!T264</f>
        <v>0</v>
      </c>
      <c r="J265" s="10" t="str">
        <f>配置表!U264</f>
        <v>●</v>
      </c>
      <c r="K265" s="32">
        <f>配置表!V264</f>
        <v>0</v>
      </c>
      <c r="L265" s="33" t="str">
        <f>配置表!W264</f>
        <v/>
      </c>
      <c r="M265" s="32">
        <f>配置表!X264</f>
        <v>0</v>
      </c>
      <c r="N265" s="33" t="str">
        <f>配置表!Y264</f>
        <v>○</v>
      </c>
      <c r="O265" s="32">
        <f>配置表!Z264</f>
        <v>1</v>
      </c>
      <c r="P265" s="33" t="str">
        <f>配置表!AA264</f>
        <v>△</v>
      </c>
      <c r="Q265" s="227">
        <f>配置表!AB264</f>
        <v>0.41666666666666669</v>
      </c>
      <c r="R265" s="227">
        <f>配置表!AC264</f>
        <v>0.70833333333333337</v>
      </c>
      <c r="S265" s="238" t="str">
        <f>配置表!AD264</f>
        <v/>
      </c>
      <c r="T265" s="63"/>
      <c r="U265" s="39"/>
      <c r="V265" s="319"/>
      <c r="W265" s="319"/>
      <c r="X265" s="326"/>
      <c r="Y265" s="321"/>
      <c r="Z265" s="26"/>
      <c r="AA265" s="327"/>
      <c r="AB265" s="323"/>
      <c r="AC265" s="323"/>
    </row>
    <row r="266" spans="1:29" ht="13.5">
      <c r="A266" s="28" t="str">
        <f>配置表!L265</f>
        <v/>
      </c>
      <c r="B266" s="9">
        <f>配置表!M265</f>
        <v>45989</v>
      </c>
      <c r="C266" s="10" t="str">
        <f>配置表!N265</f>
        <v>金</v>
      </c>
      <c r="D266" s="63" t="str">
        <f>配置表!O265</f>
        <v/>
      </c>
      <c r="E266" s="63" t="str">
        <f>配置表!P265</f>
        <v>テーマ展</v>
      </c>
      <c r="F266" s="45" t="str">
        <f>配置表!Q265</f>
        <v>○</v>
      </c>
      <c r="G266" s="45">
        <f>配置表!R265</f>
        <v>0</v>
      </c>
      <c r="H266" s="10" t="str">
        <f>配置表!S265</f>
        <v/>
      </c>
      <c r="I266" s="45">
        <f>配置表!T265</f>
        <v>0</v>
      </c>
      <c r="J266" s="10" t="str">
        <f>配置表!U265</f>
        <v>●</v>
      </c>
      <c r="K266" s="32">
        <f>配置表!V265</f>
        <v>0</v>
      </c>
      <c r="L266" s="33" t="str">
        <f>配置表!W265</f>
        <v/>
      </c>
      <c r="M266" s="32">
        <f>配置表!X265</f>
        <v>0</v>
      </c>
      <c r="N266" s="33" t="str">
        <f>配置表!Y265</f>
        <v>○</v>
      </c>
      <c r="O266" s="32">
        <f>配置表!Z265</f>
        <v>1</v>
      </c>
      <c r="P266" s="33" t="str">
        <f>配置表!AA265</f>
        <v>△</v>
      </c>
      <c r="Q266" s="227">
        <f>配置表!AB265</f>
        <v>0.41666666666666669</v>
      </c>
      <c r="R266" s="227">
        <f>配置表!AC265</f>
        <v>0.70833333333333337</v>
      </c>
      <c r="S266" s="238" t="str">
        <f>配置表!AD265</f>
        <v/>
      </c>
      <c r="T266" s="63"/>
      <c r="U266" s="328"/>
      <c r="V266" s="328"/>
      <c r="W266" s="328"/>
      <c r="X266" s="329"/>
      <c r="Y266" s="330"/>
      <c r="Z266" s="331"/>
      <c r="AA266" s="332"/>
      <c r="AB266" s="333"/>
      <c r="AC266" s="323"/>
    </row>
    <row r="267" spans="1:29" ht="13.5">
      <c r="A267" s="28" t="str">
        <f>配置表!L266</f>
        <v/>
      </c>
      <c r="B267" s="9">
        <f>配置表!M266</f>
        <v>45990</v>
      </c>
      <c r="C267" s="10" t="str">
        <f>配置表!N266</f>
        <v>土</v>
      </c>
      <c r="D267" s="63" t="str">
        <f>配置表!O266</f>
        <v/>
      </c>
      <c r="E267" s="63" t="str">
        <f>配置表!P266</f>
        <v>テーマ展</v>
      </c>
      <c r="F267" s="45" t="str">
        <f>配置表!Q266</f>
        <v>○</v>
      </c>
      <c r="G267" s="45">
        <f>配置表!R266</f>
        <v>0</v>
      </c>
      <c r="H267" s="10" t="str">
        <f>配置表!S266</f>
        <v/>
      </c>
      <c r="I267" s="45">
        <f>配置表!T266</f>
        <v>0</v>
      </c>
      <c r="J267" s="10" t="str">
        <f>配置表!U266</f>
        <v>●</v>
      </c>
      <c r="K267" s="32">
        <f>配置表!V266</f>
        <v>0</v>
      </c>
      <c r="L267" s="33" t="str">
        <f>配置表!W266</f>
        <v/>
      </c>
      <c r="M267" s="32">
        <f>配置表!X266</f>
        <v>0</v>
      </c>
      <c r="N267" s="33" t="str">
        <f>配置表!Y266</f>
        <v>○</v>
      </c>
      <c r="O267" s="32">
        <f>配置表!Z266</f>
        <v>1</v>
      </c>
      <c r="P267" s="33" t="str">
        <f>配置表!AA266</f>
        <v>△</v>
      </c>
      <c r="Q267" s="227">
        <f>配置表!AB266</f>
        <v>0.41666666666666669</v>
      </c>
      <c r="R267" s="227">
        <f>配置表!AC266</f>
        <v>0.70833333333333337</v>
      </c>
      <c r="S267" s="238" t="str">
        <f>配置表!AD266</f>
        <v/>
      </c>
      <c r="T267" s="63"/>
      <c r="U267" s="4"/>
      <c r="V267" s="162"/>
      <c r="W267" s="162"/>
      <c r="X267" s="4"/>
      <c r="Y267" s="4"/>
      <c r="Z267" s="4"/>
      <c r="AA267" s="4"/>
      <c r="AB267" s="324"/>
      <c r="AC267" s="325"/>
    </row>
    <row r="268" spans="1:29">
      <c r="A268" s="28" t="str">
        <f>配置表!L267</f>
        <v/>
      </c>
      <c r="B268" s="9">
        <f>配置表!M267</f>
        <v>45991</v>
      </c>
      <c r="C268" s="10" t="str">
        <f>配置表!N267</f>
        <v>日</v>
      </c>
      <c r="D268" s="63" t="str">
        <f>配置表!O267</f>
        <v/>
      </c>
      <c r="E268" s="63" t="str">
        <f>配置表!P267</f>
        <v>テーマ展</v>
      </c>
      <c r="F268" s="45" t="str">
        <f>配置表!Q267</f>
        <v>○</v>
      </c>
      <c r="G268" s="45">
        <f>配置表!R267</f>
        <v>0</v>
      </c>
      <c r="H268" s="10" t="str">
        <f>配置表!S267</f>
        <v/>
      </c>
      <c r="I268" s="45">
        <f>配置表!T267</f>
        <v>0</v>
      </c>
      <c r="J268" s="10" t="str">
        <f>配置表!U267</f>
        <v>●</v>
      </c>
      <c r="K268" s="32">
        <f>配置表!V267</f>
        <v>0</v>
      </c>
      <c r="L268" s="33" t="str">
        <f>配置表!W267</f>
        <v/>
      </c>
      <c r="M268" s="32">
        <f>配置表!X267</f>
        <v>0</v>
      </c>
      <c r="N268" s="33" t="str">
        <f>配置表!Y267</f>
        <v>○</v>
      </c>
      <c r="O268" s="32">
        <f>配置表!Z267</f>
        <v>1</v>
      </c>
      <c r="P268" s="33" t="str">
        <f>配置表!AA267</f>
        <v>△</v>
      </c>
      <c r="Q268" s="227">
        <f>配置表!AB267</f>
        <v>0.41666666666666669</v>
      </c>
      <c r="R268" s="227">
        <f>配置表!AC267</f>
        <v>0.70833333333333337</v>
      </c>
      <c r="S268" s="238" t="str">
        <f>配置表!AD267</f>
        <v/>
      </c>
      <c r="T268" s="63"/>
    </row>
    <row r="269" spans="1:29" ht="12" thickBot="1">
      <c r="A269" s="28"/>
      <c r="B269" s="61"/>
      <c r="C269" s="27"/>
      <c r="D269" s="65"/>
      <c r="E269" s="65"/>
      <c r="F269" s="40"/>
      <c r="G269" s="41"/>
      <c r="H269" s="22"/>
      <c r="I269" s="41"/>
      <c r="J269" s="22"/>
      <c r="K269" s="23"/>
      <c r="L269" s="34"/>
      <c r="M269" s="23"/>
      <c r="N269" s="34"/>
      <c r="O269" s="23"/>
      <c r="P269" s="34"/>
      <c r="Q269" s="239" t="str">
        <f>IF(ISERROR(VLOOKUP(B269,データ!$A$3:$C$19,2,FALSE)),"",VLOOKUP(B269,データ!$A$3:$C$19,2,FALSE))</f>
        <v/>
      </c>
      <c r="R269" s="239"/>
      <c r="S269" s="239"/>
      <c r="T269" s="63"/>
    </row>
    <row r="270" spans="1:29" ht="14.25" thickBot="1">
      <c r="A270" s="28"/>
      <c r="B270" s="57"/>
      <c r="C270" s="50"/>
      <c r="D270" s="50"/>
      <c r="E270" s="50"/>
      <c r="F270" s="24">
        <f>COUNTIF(F239:F269,"○")</f>
        <v>26</v>
      </c>
      <c r="G270" s="50"/>
      <c r="H270" s="50"/>
      <c r="I270" s="37"/>
      <c r="J270" s="37"/>
      <c r="K270" s="50"/>
      <c r="L270" s="50"/>
      <c r="M270" s="50"/>
      <c r="N270" s="50"/>
      <c r="O270" s="50"/>
      <c r="P270" s="50"/>
      <c r="Q270" s="110" t="str">
        <f>IF(ISERROR(VLOOKUP(B270,データ!$A$3:$C$19,2,FALSE)),"",VLOOKUP(B270,データ!$A$3:$C$19,2,FALSE))</f>
        <v/>
      </c>
      <c r="R270" s="110"/>
      <c r="S270" s="110"/>
      <c r="T270" s="110"/>
    </row>
    <row r="271" spans="1:29" customFormat="1" ht="27.75" customHeight="1" thickBot="1">
      <c r="A271" s="28"/>
      <c r="B271" s="58"/>
      <c r="C271" s="59"/>
      <c r="D271" s="42" t="s">
        <v>5</v>
      </c>
      <c r="E271" s="42" t="s">
        <v>6</v>
      </c>
      <c r="F271" s="49" t="s">
        <v>8</v>
      </c>
      <c r="G271" s="354" t="s">
        <v>13</v>
      </c>
      <c r="H271" s="355"/>
      <c r="I271" s="354" t="s">
        <v>14</v>
      </c>
      <c r="J271" s="355"/>
      <c r="K271" s="354" t="s">
        <v>9</v>
      </c>
      <c r="L271" s="355"/>
      <c r="M271" s="354" t="s">
        <v>10</v>
      </c>
      <c r="N271" s="355"/>
      <c r="O271" s="354" t="s">
        <v>1</v>
      </c>
      <c r="P271" s="355"/>
      <c r="Q271" s="38" t="s">
        <v>114</v>
      </c>
      <c r="R271" s="38" t="s">
        <v>35</v>
      </c>
      <c r="S271" s="38" t="s">
        <v>116</v>
      </c>
      <c r="T271" s="63"/>
      <c r="U271" s="149" t="s">
        <v>82</v>
      </c>
      <c r="V271" s="156"/>
      <c r="W271" s="156" t="s">
        <v>74</v>
      </c>
      <c r="X271" s="175" t="s">
        <v>60</v>
      </c>
      <c r="Y271" s="175" t="s">
        <v>70</v>
      </c>
      <c r="Z271" s="150" t="s">
        <v>71</v>
      </c>
      <c r="AA271" s="150" t="s">
        <v>61</v>
      </c>
      <c r="AB271" s="150" t="s">
        <v>62</v>
      </c>
      <c r="AC271" s="151" t="s">
        <v>63</v>
      </c>
    </row>
    <row r="272" spans="1:29" ht="13.5">
      <c r="A272" s="28" t="str">
        <f>配置表!L271</f>
        <v>閉</v>
      </c>
      <c r="B272" s="25">
        <f>配置表!M271</f>
        <v>45992</v>
      </c>
      <c r="C272" s="24" t="str">
        <f>配置表!N271</f>
        <v>月</v>
      </c>
      <c r="D272" s="70" t="str">
        <f>配置表!O271</f>
        <v/>
      </c>
      <c r="E272" s="63" t="str">
        <f>配置表!P271</f>
        <v>テーマ展</v>
      </c>
      <c r="F272" s="44" t="str">
        <f>配置表!Q271</f>
        <v>休</v>
      </c>
      <c r="G272" s="35">
        <f>配置表!R271</f>
        <v>0</v>
      </c>
      <c r="H272" s="47" t="str">
        <f>配置表!S271</f>
        <v>休</v>
      </c>
      <c r="I272" s="35">
        <f>配置表!T271</f>
        <v>0</v>
      </c>
      <c r="J272" s="47" t="str">
        <f>配置表!U271</f>
        <v>休</v>
      </c>
      <c r="K272" s="35">
        <f>配置表!V271</f>
        <v>0</v>
      </c>
      <c r="L272" s="47" t="str">
        <f>配置表!W271</f>
        <v>休</v>
      </c>
      <c r="M272" s="35">
        <f>配置表!X271</f>
        <v>0</v>
      </c>
      <c r="N272" s="47" t="str">
        <f>配置表!Y271</f>
        <v>休</v>
      </c>
      <c r="O272" s="35" t="str">
        <f>配置表!Z271</f>
        <v/>
      </c>
      <c r="P272" s="47" t="str">
        <f>配置表!AA271</f>
        <v>休</v>
      </c>
      <c r="Q272" s="232" t="str">
        <f>配置表!AB271</f>
        <v/>
      </c>
      <c r="R272" s="232" t="str">
        <f>配置表!AC271</f>
        <v/>
      </c>
      <c r="S272" s="237" t="str">
        <f>配置表!AD271</f>
        <v/>
      </c>
      <c r="T272" s="63"/>
      <c r="U272" s="173" t="s">
        <v>88</v>
      </c>
      <c r="V272" s="156"/>
      <c r="W272" s="156"/>
      <c r="X272" s="176"/>
      <c r="Y272" s="177"/>
      <c r="Z272" s="181">
        <f>COUNTIF(F272:F302,V272)</f>
        <v>0</v>
      </c>
      <c r="AA272" s="174">
        <f>X272*Y272*Z272</f>
        <v>0</v>
      </c>
      <c r="AB272" s="181"/>
      <c r="AC272" s="315">
        <f>SUM(AA272*AB272)</f>
        <v>0</v>
      </c>
    </row>
    <row r="273" spans="1:30" ht="13.5">
      <c r="A273" s="28" t="str">
        <f>配置表!L272</f>
        <v/>
      </c>
      <c r="B273" s="9">
        <f>配置表!M272</f>
        <v>45993</v>
      </c>
      <c r="C273" s="10" t="str">
        <f>配置表!N272</f>
        <v>火</v>
      </c>
      <c r="D273" s="63" t="str">
        <f>配置表!O272</f>
        <v/>
      </c>
      <c r="E273" s="63" t="str">
        <f>配置表!P272</f>
        <v>テーマ展</v>
      </c>
      <c r="F273" s="45" t="str">
        <f>配置表!Q272</f>
        <v>○</v>
      </c>
      <c r="G273" s="45">
        <f>配置表!R272</f>
        <v>0</v>
      </c>
      <c r="H273" s="33" t="str">
        <f>配置表!S272</f>
        <v/>
      </c>
      <c r="I273" s="10">
        <f>配置表!T272</f>
        <v>0</v>
      </c>
      <c r="J273" s="10" t="str">
        <f>配置表!U272</f>
        <v>●</v>
      </c>
      <c r="K273" s="32">
        <f>配置表!V272</f>
        <v>0</v>
      </c>
      <c r="L273" s="33" t="str">
        <f>配置表!W272</f>
        <v/>
      </c>
      <c r="M273" s="32">
        <f>配置表!X272</f>
        <v>0</v>
      </c>
      <c r="N273" s="33" t="str">
        <f>配置表!Y272</f>
        <v>○</v>
      </c>
      <c r="O273" s="32">
        <f>配置表!Z272</f>
        <v>1</v>
      </c>
      <c r="P273" s="33" t="str">
        <f>配置表!AA272</f>
        <v>△</v>
      </c>
      <c r="Q273" s="227">
        <f>配置表!AB272</f>
        <v>0.41666666666666669</v>
      </c>
      <c r="R273" s="227">
        <f>配置表!AC272</f>
        <v>0.70833333333333337</v>
      </c>
      <c r="S273" s="238" t="str">
        <f>配置表!AD272</f>
        <v/>
      </c>
      <c r="T273" s="63"/>
      <c r="U273" s="152" t="s">
        <v>88</v>
      </c>
      <c r="V273" s="155" t="s">
        <v>66</v>
      </c>
      <c r="W273" s="274" t="s">
        <v>126</v>
      </c>
      <c r="X273" s="275">
        <v>8.5</v>
      </c>
      <c r="Y273" s="158">
        <v>1</v>
      </c>
      <c r="Z273" s="182">
        <f>COUNTIF(F272:F302,V273)</f>
        <v>25</v>
      </c>
      <c r="AA273" s="154">
        <f t="shared" ref="AA273:AA288" si="16">X273*Y273*Z273</f>
        <v>212.5</v>
      </c>
      <c r="AB273" s="182">
        <f>AB$9</f>
        <v>0</v>
      </c>
      <c r="AC273" s="183">
        <f t="shared" ref="AC273:AC288" si="17">SUM(AA273*AB273)</f>
        <v>0</v>
      </c>
    </row>
    <row r="274" spans="1:30" ht="13.5">
      <c r="A274" s="28" t="str">
        <f>配置表!L273</f>
        <v/>
      </c>
      <c r="B274" s="9">
        <f>配置表!M273</f>
        <v>45994</v>
      </c>
      <c r="C274" s="10" t="str">
        <f>配置表!N273</f>
        <v>水</v>
      </c>
      <c r="D274" s="63" t="str">
        <f>配置表!O273</f>
        <v/>
      </c>
      <c r="E274" s="63" t="str">
        <f>配置表!P273</f>
        <v>テーマ展</v>
      </c>
      <c r="F274" s="45" t="str">
        <f>配置表!Q273</f>
        <v>○</v>
      </c>
      <c r="G274" s="45">
        <f>配置表!R273</f>
        <v>0</v>
      </c>
      <c r="H274" s="33" t="str">
        <f>配置表!S273</f>
        <v/>
      </c>
      <c r="I274" s="10">
        <f>配置表!T273</f>
        <v>0</v>
      </c>
      <c r="J274" s="10" t="str">
        <f>配置表!U273</f>
        <v>●</v>
      </c>
      <c r="K274" s="32">
        <f>配置表!V273</f>
        <v>0</v>
      </c>
      <c r="L274" s="33" t="str">
        <f>配置表!W273</f>
        <v/>
      </c>
      <c r="M274" s="32">
        <f>配置表!X273</f>
        <v>0</v>
      </c>
      <c r="N274" s="33" t="str">
        <f>配置表!Y273</f>
        <v>○</v>
      </c>
      <c r="O274" s="32">
        <f>配置表!Z273</f>
        <v>1</v>
      </c>
      <c r="P274" s="33" t="str">
        <f>配置表!AA273</f>
        <v>△</v>
      </c>
      <c r="Q274" s="227">
        <f>配置表!AB273</f>
        <v>0.41666666666666669</v>
      </c>
      <c r="R274" s="227">
        <f>配置表!AC273</f>
        <v>0.70833333333333337</v>
      </c>
      <c r="S274" s="238" t="str">
        <f>配置表!AD273</f>
        <v/>
      </c>
      <c r="T274" s="63"/>
      <c r="U274" s="152" t="s">
        <v>89</v>
      </c>
      <c r="V274" s="155" t="s">
        <v>66</v>
      </c>
      <c r="W274" s="155" t="s">
        <v>141</v>
      </c>
      <c r="X274" s="191">
        <v>5.25</v>
      </c>
      <c r="Y274" s="158">
        <v>1</v>
      </c>
      <c r="Z274" s="182">
        <f>COUNTIF(H272:H302,V274)</f>
        <v>0</v>
      </c>
      <c r="AA274" s="154">
        <f t="shared" si="16"/>
        <v>0</v>
      </c>
      <c r="AB274" s="182">
        <f>AB$10</f>
        <v>0</v>
      </c>
      <c r="AC274" s="183">
        <f t="shared" si="17"/>
        <v>0</v>
      </c>
    </row>
    <row r="275" spans="1:30" ht="13.5">
      <c r="A275" s="28" t="str">
        <f>配置表!L274</f>
        <v/>
      </c>
      <c r="B275" s="9">
        <f>配置表!M274</f>
        <v>45995</v>
      </c>
      <c r="C275" s="10" t="str">
        <f>配置表!N274</f>
        <v>木</v>
      </c>
      <c r="D275" s="63" t="str">
        <f>配置表!O274</f>
        <v/>
      </c>
      <c r="E275" s="63" t="str">
        <f>配置表!P274</f>
        <v>テーマ展</v>
      </c>
      <c r="F275" s="45" t="str">
        <f>配置表!Q274</f>
        <v>○</v>
      </c>
      <c r="G275" s="45">
        <f>配置表!R274</f>
        <v>0</v>
      </c>
      <c r="H275" s="33" t="str">
        <f>配置表!S274</f>
        <v/>
      </c>
      <c r="I275" s="10">
        <f>配置表!T274</f>
        <v>0</v>
      </c>
      <c r="J275" s="10" t="str">
        <f>配置表!U274</f>
        <v>●</v>
      </c>
      <c r="K275" s="32">
        <f>配置表!V274</f>
        <v>0</v>
      </c>
      <c r="L275" s="33" t="str">
        <f>配置表!W274</f>
        <v/>
      </c>
      <c r="M275" s="32">
        <f>配置表!X274</f>
        <v>0</v>
      </c>
      <c r="N275" s="33" t="str">
        <f>配置表!Y274</f>
        <v>○</v>
      </c>
      <c r="O275" s="32">
        <f>配置表!Z274</f>
        <v>1</v>
      </c>
      <c r="P275" s="33" t="str">
        <f>配置表!AA274</f>
        <v>△</v>
      </c>
      <c r="Q275" s="227">
        <f>配置表!AB274</f>
        <v>0.41666666666666669</v>
      </c>
      <c r="R275" s="227">
        <f>配置表!AC274</f>
        <v>0.70833333333333337</v>
      </c>
      <c r="S275" s="238" t="str">
        <f>配置表!AD274</f>
        <v/>
      </c>
      <c r="T275" s="63"/>
      <c r="U275" s="152"/>
      <c r="V275" s="155"/>
      <c r="W275" s="155"/>
      <c r="X275" s="153"/>
      <c r="Y275" s="158"/>
      <c r="Z275" s="182">
        <f>COUNTIF(H272:H302,V275)</f>
        <v>0</v>
      </c>
      <c r="AA275" s="154">
        <f t="shared" si="16"/>
        <v>0</v>
      </c>
      <c r="AB275" s="182"/>
      <c r="AC275" s="183">
        <f t="shared" si="17"/>
        <v>0</v>
      </c>
    </row>
    <row r="276" spans="1:30" ht="13.5">
      <c r="A276" s="28" t="str">
        <f>配置表!L275</f>
        <v/>
      </c>
      <c r="B276" s="9">
        <f>配置表!M275</f>
        <v>45996</v>
      </c>
      <c r="C276" s="10" t="str">
        <f>配置表!N275</f>
        <v>金</v>
      </c>
      <c r="D276" s="63" t="str">
        <f>配置表!O275</f>
        <v/>
      </c>
      <c r="E276" s="63" t="str">
        <f>配置表!P275</f>
        <v>テーマ展</v>
      </c>
      <c r="F276" s="45" t="str">
        <f>配置表!Q275</f>
        <v>○</v>
      </c>
      <c r="G276" s="45">
        <f>配置表!R275</f>
        <v>0</v>
      </c>
      <c r="H276" s="33" t="str">
        <f>配置表!S275</f>
        <v/>
      </c>
      <c r="I276" s="10">
        <f>配置表!T275</f>
        <v>0</v>
      </c>
      <c r="J276" s="10" t="str">
        <f>配置表!U275</f>
        <v>●</v>
      </c>
      <c r="K276" s="32">
        <f>配置表!V275</f>
        <v>0</v>
      </c>
      <c r="L276" s="33" t="str">
        <f>配置表!W275</f>
        <v/>
      </c>
      <c r="M276" s="32">
        <f>配置表!X275</f>
        <v>0</v>
      </c>
      <c r="N276" s="33" t="str">
        <f>配置表!Y275</f>
        <v>○</v>
      </c>
      <c r="O276" s="32">
        <f>配置表!Z275</f>
        <v>1</v>
      </c>
      <c r="P276" s="33" t="str">
        <f>配置表!AA275</f>
        <v>△</v>
      </c>
      <c r="Q276" s="227">
        <f>配置表!AB275</f>
        <v>0.41666666666666669</v>
      </c>
      <c r="R276" s="227">
        <f>配置表!AC275</f>
        <v>0.70833333333333337</v>
      </c>
      <c r="S276" s="238" t="str">
        <f>配置表!AD275</f>
        <v/>
      </c>
      <c r="T276" s="63"/>
      <c r="U276" s="152"/>
      <c r="V276" s="155"/>
      <c r="W276" s="155"/>
      <c r="X276" s="153"/>
      <c r="Y276" s="158"/>
      <c r="Z276" s="182">
        <f>COUNTIF(H272:H302,V276)</f>
        <v>0</v>
      </c>
      <c r="AA276" s="154">
        <f t="shared" si="16"/>
        <v>0</v>
      </c>
      <c r="AB276" s="182"/>
      <c r="AC276" s="183">
        <f t="shared" si="17"/>
        <v>0</v>
      </c>
    </row>
    <row r="277" spans="1:30" ht="13.5">
      <c r="A277" s="28" t="str">
        <f>配置表!L276</f>
        <v/>
      </c>
      <c r="B277" s="9">
        <f>配置表!M276</f>
        <v>45997</v>
      </c>
      <c r="C277" s="10" t="str">
        <f>配置表!N276</f>
        <v>土</v>
      </c>
      <c r="D277" s="63" t="str">
        <f>配置表!O276</f>
        <v>冬　特別展</v>
      </c>
      <c r="E277" s="63" t="str">
        <f>配置表!P276</f>
        <v>テーマ展</v>
      </c>
      <c r="F277" s="45" t="str">
        <f>配置表!Q276</f>
        <v>○</v>
      </c>
      <c r="G277" s="45">
        <f>配置表!R276</f>
        <v>0</v>
      </c>
      <c r="H277" s="33" t="str">
        <f>配置表!S276</f>
        <v/>
      </c>
      <c r="I277" s="10">
        <f>配置表!T276</f>
        <v>0</v>
      </c>
      <c r="J277" s="10" t="str">
        <f>配置表!U276</f>
        <v>●</v>
      </c>
      <c r="K277" s="32">
        <f>配置表!V276</f>
        <v>0</v>
      </c>
      <c r="L277" s="33" t="str">
        <f>配置表!W276</f>
        <v>◎</v>
      </c>
      <c r="M277" s="32">
        <f>配置表!X276</f>
        <v>0</v>
      </c>
      <c r="N277" s="33" t="str">
        <f>配置表!Y276</f>
        <v>○</v>
      </c>
      <c r="O277" s="32">
        <f>配置表!Z276</f>
        <v>5</v>
      </c>
      <c r="P277" s="33" t="str">
        <f>配置表!AA276</f>
        <v>○</v>
      </c>
      <c r="Q277" s="227">
        <f>配置表!AB276</f>
        <v>0.41666666666666669</v>
      </c>
      <c r="R277" s="227">
        <f>配置表!AC276</f>
        <v>0.70833333333333337</v>
      </c>
      <c r="S277" s="238" t="str">
        <f>配置表!AD276</f>
        <v/>
      </c>
      <c r="T277" s="63"/>
      <c r="U277" s="152" t="s">
        <v>90</v>
      </c>
      <c r="V277" s="155" t="s">
        <v>46</v>
      </c>
      <c r="W277" s="155" t="s">
        <v>142</v>
      </c>
      <c r="X277" s="191">
        <v>6.75</v>
      </c>
      <c r="Y277" s="158">
        <v>1</v>
      </c>
      <c r="Z277" s="182">
        <f>COUNTIF(J272:J302,V277)</f>
        <v>25</v>
      </c>
      <c r="AA277" s="154">
        <f t="shared" si="16"/>
        <v>168.75</v>
      </c>
      <c r="AB277" s="182">
        <f>AB$13</f>
        <v>0</v>
      </c>
      <c r="AC277" s="183">
        <f t="shared" si="17"/>
        <v>0</v>
      </c>
    </row>
    <row r="278" spans="1:30" ht="13.5">
      <c r="A278" s="28" t="str">
        <f>配置表!L277</f>
        <v/>
      </c>
      <c r="B278" s="9">
        <f>配置表!M277</f>
        <v>45998</v>
      </c>
      <c r="C278" s="10" t="str">
        <f>配置表!N277</f>
        <v>日</v>
      </c>
      <c r="D278" s="63" t="str">
        <f>配置表!O277</f>
        <v>冬　特別展</v>
      </c>
      <c r="E278" s="63" t="str">
        <f>配置表!P277</f>
        <v>テーマ展</v>
      </c>
      <c r="F278" s="45" t="str">
        <f>配置表!Q277</f>
        <v>○</v>
      </c>
      <c r="G278" s="45">
        <f>配置表!R277</f>
        <v>0</v>
      </c>
      <c r="H278" s="33" t="str">
        <f>配置表!S277</f>
        <v/>
      </c>
      <c r="I278" s="10">
        <f>配置表!T277</f>
        <v>0</v>
      </c>
      <c r="J278" s="10" t="str">
        <f>配置表!U277</f>
        <v>●</v>
      </c>
      <c r="K278" s="32">
        <f>配置表!V277</f>
        <v>0</v>
      </c>
      <c r="L278" s="33" t="str">
        <f>配置表!W277</f>
        <v>◎</v>
      </c>
      <c r="M278" s="32">
        <f>配置表!X277</f>
        <v>0</v>
      </c>
      <c r="N278" s="33" t="str">
        <f>配置表!Y277</f>
        <v>○</v>
      </c>
      <c r="O278" s="32">
        <f>配置表!Z277</f>
        <v>5</v>
      </c>
      <c r="P278" s="33" t="str">
        <f>配置表!AA277</f>
        <v>○</v>
      </c>
      <c r="Q278" s="227">
        <f>配置表!AB277</f>
        <v>0.41666666666666669</v>
      </c>
      <c r="R278" s="227">
        <f>配置表!AC277</f>
        <v>0.70833333333333337</v>
      </c>
      <c r="S278" s="238" t="str">
        <f>配置表!AD277</f>
        <v/>
      </c>
      <c r="T278" s="63"/>
      <c r="U278" s="152"/>
      <c r="V278" s="155"/>
      <c r="W278" s="155"/>
      <c r="X278" s="153"/>
      <c r="Y278" s="158"/>
      <c r="Z278" s="182">
        <f>COUNTIF(J272:J302,V278)</f>
        <v>0</v>
      </c>
      <c r="AA278" s="154">
        <f t="shared" si="16"/>
        <v>0</v>
      </c>
      <c r="AB278" s="182"/>
      <c r="AC278" s="183">
        <f t="shared" si="17"/>
        <v>0</v>
      </c>
    </row>
    <row r="279" spans="1:30" ht="13.5">
      <c r="A279" s="28" t="str">
        <f>配置表!L278</f>
        <v>閉</v>
      </c>
      <c r="B279" s="9">
        <f>配置表!M278</f>
        <v>45999</v>
      </c>
      <c r="C279" s="10" t="str">
        <f>配置表!N278</f>
        <v>月</v>
      </c>
      <c r="D279" s="63" t="str">
        <f>配置表!O278</f>
        <v>冬　特別展</v>
      </c>
      <c r="E279" s="63" t="str">
        <f>配置表!P278</f>
        <v>テーマ展</v>
      </c>
      <c r="F279" s="44" t="str">
        <f>配置表!Q278</f>
        <v>休</v>
      </c>
      <c r="G279" s="32">
        <f>配置表!R278</f>
        <v>0</v>
      </c>
      <c r="H279" s="33" t="str">
        <f>配置表!S278</f>
        <v>休</v>
      </c>
      <c r="I279" s="32">
        <f>配置表!T278</f>
        <v>0</v>
      </c>
      <c r="J279" s="33" t="str">
        <f>配置表!U278</f>
        <v>休</v>
      </c>
      <c r="K279" s="32">
        <f>配置表!V278</f>
        <v>0</v>
      </c>
      <c r="L279" s="33" t="str">
        <f>配置表!W278</f>
        <v>休</v>
      </c>
      <c r="M279" s="32">
        <f>配置表!X278</f>
        <v>0</v>
      </c>
      <c r="N279" s="33" t="str">
        <f>配置表!Y278</f>
        <v>休</v>
      </c>
      <c r="O279" s="32" t="str">
        <f>配置表!Z278</f>
        <v/>
      </c>
      <c r="P279" s="33" t="str">
        <f>配置表!AA278</f>
        <v>休</v>
      </c>
      <c r="Q279" s="227" t="str">
        <f>配置表!AB278</f>
        <v/>
      </c>
      <c r="R279" s="227" t="str">
        <f>配置表!AC278</f>
        <v/>
      </c>
      <c r="S279" s="238" t="str">
        <f>配置表!AD278</f>
        <v/>
      </c>
      <c r="T279" s="63"/>
      <c r="U279" s="152" t="s">
        <v>91</v>
      </c>
      <c r="V279" s="155" t="s">
        <v>66</v>
      </c>
      <c r="W279" s="155" t="s">
        <v>141</v>
      </c>
      <c r="X279" s="191">
        <v>5.25</v>
      </c>
      <c r="Y279" s="158">
        <v>1</v>
      </c>
      <c r="Z279" s="186">
        <f>COUNTIF(L272:L302,V279)</f>
        <v>0</v>
      </c>
      <c r="AA279" s="154">
        <f t="shared" si="16"/>
        <v>0</v>
      </c>
      <c r="AB279" s="182">
        <f>AB$15</f>
        <v>0</v>
      </c>
      <c r="AC279" s="183">
        <f t="shared" si="17"/>
        <v>0</v>
      </c>
    </row>
    <row r="280" spans="1:30" ht="13.5">
      <c r="A280" s="28" t="str">
        <f>配置表!L279</f>
        <v/>
      </c>
      <c r="B280" s="9">
        <f>配置表!M279</f>
        <v>46000</v>
      </c>
      <c r="C280" s="10" t="str">
        <f>配置表!N279</f>
        <v>火</v>
      </c>
      <c r="D280" s="63" t="str">
        <f>配置表!O279</f>
        <v>冬　特別展</v>
      </c>
      <c r="E280" s="63" t="str">
        <f>配置表!P279</f>
        <v>テーマ展</v>
      </c>
      <c r="F280" s="45" t="str">
        <f>配置表!Q279</f>
        <v>○</v>
      </c>
      <c r="G280" s="45">
        <f>配置表!R279</f>
        <v>0</v>
      </c>
      <c r="H280" s="33" t="str">
        <f>配置表!S279</f>
        <v/>
      </c>
      <c r="I280" s="10">
        <f>配置表!T279</f>
        <v>0</v>
      </c>
      <c r="J280" s="10" t="str">
        <f>配置表!U279</f>
        <v>●</v>
      </c>
      <c r="K280" s="32">
        <f>配置表!V279</f>
        <v>0</v>
      </c>
      <c r="L280" s="33" t="str">
        <f>配置表!W279</f>
        <v/>
      </c>
      <c r="M280" s="32">
        <f>配置表!X279</f>
        <v>0</v>
      </c>
      <c r="N280" s="33" t="str">
        <f>配置表!Y279</f>
        <v>○</v>
      </c>
      <c r="O280" s="32">
        <f>配置表!Z279</f>
        <v>5</v>
      </c>
      <c r="P280" s="33" t="str">
        <f>配置表!AA279</f>
        <v>○</v>
      </c>
      <c r="Q280" s="227">
        <f>配置表!AB279</f>
        <v>0.41666666666666669</v>
      </c>
      <c r="R280" s="227">
        <f>配置表!AC279</f>
        <v>0.70833333333333337</v>
      </c>
      <c r="S280" s="238" t="str">
        <f>配置表!AD279</f>
        <v/>
      </c>
      <c r="T280" s="63"/>
      <c r="U280" s="152" t="s">
        <v>18</v>
      </c>
      <c r="V280" s="155" t="s">
        <v>15</v>
      </c>
      <c r="W280" s="155" t="s">
        <v>153</v>
      </c>
      <c r="X280" s="153">
        <v>5</v>
      </c>
      <c r="Y280" s="158">
        <v>1</v>
      </c>
      <c r="Z280" s="186">
        <f>COUNTIF(L272:L302,V280)</f>
        <v>8</v>
      </c>
      <c r="AA280" s="154">
        <f t="shared" si="16"/>
        <v>40</v>
      </c>
      <c r="AB280" s="182">
        <f>AB$16</f>
        <v>0</v>
      </c>
      <c r="AC280" s="183">
        <f t="shared" si="17"/>
        <v>0</v>
      </c>
    </row>
    <row r="281" spans="1:30" ht="13.5">
      <c r="A281" s="28" t="str">
        <f>配置表!L280</f>
        <v/>
      </c>
      <c r="B281" s="9">
        <f>配置表!M280</f>
        <v>46001</v>
      </c>
      <c r="C281" s="10" t="str">
        <f>配置表!N280</f>
        <v>水</v>
      </c>
      <c r="D281" s="63" t="str">
        <f>配置表!O280</f>
        <v>冬　特別展</v>
      </c>
      <c r="E281" s="63" t="str">
        <f>配置表!P280</f>
        <v>テーマ展</v>
      </c>
      <c r="F281" s="45" t="str">
        <f>配置表!Q280</f>
        <v>○</v>
      </c>
      <c r="G281" s="45">
        <f>配置表!R280</f>
        <v>0</v>
      </c>
      <c r="H281" s="33" t="str">
        <f>配置表!S280</f>
        <v/>
      </c>
      <c r="I281" s="10">
        <f>配置表!T280</f>
        <v>0</v>
      </c>
      <c r="J281" s="10" t="str">
        <f>配置表!U280</f>
        <v>●</v>
      </c>
      <c r="K281" s="32">
        <f>配置表!V280</f>
        <v>0</v>
      </c>
      <c r="L281" s="33" t="str">
        <f>配置表!W280</f>
        <v/>
      </c>
      <c r="M281" s="32">
        <f>配置表!X280</f>
        <v>0</v>
      </c>
      <c r="N281" s="33" t="str">
        <f>配置表!Y280</f>
        <v>○</v>
      </c>
      <c r="O281" s="32">
        <f>配置表!Z280</f>
        <v>5</v>
      </c>
      <c r="P281" s="33" t="str">
        <f>配置表!AA280</f>
        <v>○</v>
      </c>
      <c r="Q281" s="227">
        <f>配置表!AB280</f>
        <v>0.41666666666666669</v>
      </c>
      <c r="R281" s="227">
        <f>配置表!AC280</f>
        <v>0.70833333333333337</v>
      </c>
      <c r="S281" s="238" t="str">
        <f>配置表!AD280</f>
        <v/>
      </c>
      <c r="T281" s="63"/>
      <c r="U281" s="152"/>
      <c r="V281" s="155"/>
      <c r="W281" s="155"/>
      <c r="X281" s="153"/>
      <c r="Y281" s="158"/>
      <c r="Z281" s="186">
        <f>COUNTIF(N272:N302,V281)</f>
        <v>0</v>
      </c>
      <c r="AA281" s="154">
        <f t="shared" si="16"/>
        <v>0</v>
      </c>
      <c r="AB281" s="182"/>
      <c r="AC281" s="183">
        <f t="shared" si="17"/>
        <v>0</v>
      </c>
    </row>
    <row r="282" spans="1:30" ht="13.5">
      <c r="A282" s="28" t="str">
        <f>配置表!L281</f>
        <v/>
      </c>
      <c r="B282" s="9">
        <f>配置表!M281</f>
        <v>46002</v>
      </c>
      <c r="C282" s="10" t="str">
        <f>配置表!N281</f>
        <v>木</v>
      </c>
      <c r="D282" s="63" t="str">
        <f>配置表!O281</f>
        <v>冬　特別展</v>
      </c>
      <c r="E282" s="63" t="str">
        <f>配置表!P281</f>
        <v>テーマ展</v>
      </c>
      <c r="F282" s="45" t="str">
        <f>配置表!Q281</f>
        <v>○</v>
      </c>
      <c r="G282" s="45">
        <f>配置表!R281</f>
        <v>0</v>
      </c>
      <c r="H282" s="33" t="str">
        <f>配置表!S281</f>
        <v/>
      </c>
      <c r="I282" s="10">
        <f>配置表!T281</f>
        <v>0</v>
      </c>
      <c r="J282" s="10" t="str">
        <f>配置表!U281</f>
        <v>●</v>
      </c>
      <c r="K282" s="32">
        <f>配置表!V281</f>
        <v>0</v>
      </c>
      <c r="L282" s="33" t="str">
        <f>配置表!W281</f>
        <v/>
      </c>
      <c r="M282" s="32">
        <f>配置表!X281</f>
        <v>0</v>
      </c>
      <c r="N282" s="33" t="str">
        <f>配置表!Y281</f>
        <v>○</v>
      </c>
      <c r="O282" s="32">
        <f>配置表!Z281</f>
        <v>5</v>
      </c>
      <c r="P282" s="33" t="str">
        <f>配置表!AA281</f>
        <v>○</v>
      </c>
      <c r="Q282" s="227">
        <f>配置表!AB281</f>
        <v>0.41666666666666669</v>
      </c>
      <c r="R282" s="227">
        <f>配置表!AC281</f>
        <v>0.70833333333333337</v>
      </c>
      <c r="S282" s="238" t="str">
        <f>配置表!AD281</f>
        <v/>
      </c>
      <c r="T282" s="63"/>
      <c r="U282" s="152"/>
      <c r="V282" s="155"/>
      <c r="W282" s="274"/>
      <c r="X282" s="275"/>
      <c r="Y282" s="158"/>
      <c r="Z282" s="186">
        <f>COUNTIF(N272:N302,V282)</f>
        <v>0</v>
      </c>
      <c r="AA282" s="154">
        <f t="shared" si="16"/>
        <v>0</v>
      </c>
      <c r="AB282" s="182"/>
      <c r="AC282" s="183">
        <f t="shared" si="17"/>
        <v>0</v>
      </c>
    </row>
    <row r="283" spans="1:30" ht="13.5">
      <c r="A283" s="28" t="str">
        <f>配置表!L282</f>
        <v/>
      </c>
      <c r="B283" s="9">
        <f>配置表!M282</f>
        <v>46003</v>
      </c>
      <c r="C283" s="10" t="str">
        <f>配置表!N282</f>
        <v>金</v>
      </c>
      <c r="D283" s="63" t="str">
        <f>配置表!O282</f>
        <v>冬　特別展</v>
      </c>
      <c r="E283" s="63" t="str">
        <f>配置表!P282</f>
        <v>テーマ展</v>
      </c>
      <c r="F283" s="45" t="str">
        <f>配置表!Q282</f>
        <v>○</v>
      </c>
      <c r="G283" s="45">
        <f>配置表!R282</f>
        <v>0</v>
      </c>
      <c r="H283" s="33" t="str">
        <f>配置表!S282</f>
        <v/>
      </c>
      <c r="I283" s="10">
        <f>配置表!T282</f>
        <v>0</v>
      </c>
      <c r="J283" s="10" t="str">
        <f>配置表!U282</f>
        <v>●</v>
      </c>
      <c r="K283" s="32">
        <f>配置表!V282</f>
        <v>0</v>
      </c>
      <c r="L283" s="33" t="str">
        <f>配置表!W282</f>
        <v/>
      </c>
      <c r="M283" s="32">
        <f>配置表!X282</f>
        <v>0</v>
      </c>
      <c r="N283" s="33" t="str">
        <f>配置表!Y282</f>
        <v>○</v>
      </c>
      <c r="O283" s="32">
        <f>配置表!Z282</f>
        <v>5</v>
      </c>
      <c r="P283" s="33" t="str">
        <f>配置表!AA282</f>
        <v>○</v>
      </c>
      <c r="Q283" s="227">
        <f>配置表!AB282</f>
        <v>0.41666666666666669</v>
      </c>
      <c r="R283" s="227">
        <f>配置表!AC282</f>
        <v>0.70833333333333337</v>
      </c>
      <c r="S283" s="238" t="str">
        <f>配置表!AD282</f>
        <v/>
      </c>
      <c r="T283" s="63"/>
      <c r="U283" s="152" t="s">
        <v>19</v>
      </c>
      <c r="V283" s="155" t="s">
        <v>66</v>
      </c>
      <c r="W283" s="274" t="s">
        <v>127</v>
      </c>
      <c r="X283" s="275">
        <v>7.5</v>
      </c>
      <c r="Y283" s="158">
        <v>1</v>
      </c>
      <c r="Z283" s="186">
        <f>COUNTIF(N272:N302,V283)</f>
        <v>25</v>
      </c>
      <c r="AA283" s="154">
        <f t="shared" si="16"/>
        <v>187.5</v>
      </c>
      <c r="AB283" s="182">
        <f>AB$19</f>
        <v>0</v>
      </c>
      <c r="AC283" s="183">
        <f t="shared" si="17"/>
        <v>0</v>
      </c>
    </row>
    <row r="284" spans="1:30" ht="13.5">
      <c r="A284" s="28" t="str">
        <f>配置表!L283</f>
        <v/>
      </c>
      <c r="B284" s="9">
        <f>配置表!M283</f>
        <v>46004</v>
      </c>
      <c r="C284" s="10" t="str">
        <f>配置表!N283</f>
        <v>土</v>
      </c>
      <c r="D284" s="63" t="str">
        <f>配置表!O283</f>
        <v>冬　特別展</v>
      </c>
      <c r="E284" s="63" t="str">
        <f>配置表!P283</f>
        <v>テーマ展</v>
      </c>
      <c r="F284" s="45" t="str">
        <f>配置表!Q283</f>
        <v>○</v>
      </c>
      <c r="G284" s="45">
        <f>配置表!R283</f>
        <v>0</v>
      </c>
      <c r="H284" s="33" t="str">
        <f>配置表!S283</f>
        <v/>
      </c>
      <c r="I284" s="10">
        <f>配置表!T283</f>
        <v>0</v>
      </c>
      <c r="J284" s="10" t="str">
        <f>配置表!U283</f>
        <v>●</v>
      </c>
      <c r="K284" s="32">
        <f>配置表!V283</f>
        <v>0</v>
      </c>
      <c r="L284" s="33" t="str">
        <f>配置表!W283</f>
        <v>◎</v>
      </c>
      <c r="M284" s="32">
        <f>配置表!X283</f>
        <v>0</v>
      </c>
      <c r="N284" s="33" t="str">
        <f>配置表!Y283</f>
        <v>○</v>
      </c>
      <c r="O284" s="32">
        <f>配置表!Z283</f>
        <v>5</v>
      </c>
      <c r="P284" s="33" t="str">
        <f>配置表!AA283</f>
        <v>○</v>
      </c>
      <c r="Q284" s="227">
        <f>配置表!AB283</f>
        <v>0.41666666666666669</v>
      </c>
      <c r="R284" s="227">
        <f>配置表!AC283</f>
        <v>0.70833333333333337</v>
      </c>
      <c r="S284" s="238" t="str">
        <f>配置表!AD283</f>
        <v/>
      </c>
      <c r="T284" s="63"/>
      <c r="U284" s="152"/>
      <c r="V284" s="155"/>
      <c r="W284" s="155"/>
      <c r="X284" s="153"/>
      <c r="Y284" s="158"/>
      <c r="Z284" s="186">
        <f>COUNTIF(P272:P302,V284)</f>
        <v>0</v>
      </c>
      <c r="AA284" s="154">
        <f t="shared" si="16"/>
        <v>0</v>
      </c>
      <c r="AB284" s="182"/>
      <c r="AC284" s="183">
        <f t="shared" si="17"/>
        <v>0</v>
      </c>
    </row>
    <row r="285" spans="1:30" ht="13.5">
      <c r="A285" s="28" t="str">
        <f>配置表!L284</f>
        <v/>
      </c>
      <c r="B285" s="9">
        <f>配置表!M284</f>
        <v>46005</v>
      </c>
      <c r="C285" s="10" t="str">
        <f>配置表!N284</f>
        <v>日</v>
      </c>
      <c r="D285" s="63" t="str">
        <f>配置表!O284</f>
        <v>冬　特別展</v>
      </c>
      <c r="E285" s="63" t="str">
        <f>配置表!P284</f>
        <v>テーマ展</v>
      </c>
      <c r="F285" s="45" t="str">
        <f>配置表!Q284</f>
        <v>○</v>
      </c>
      <c r="G285" s="45">
        <f>配置表!R284</f>
        <v>0</v>
      </c>
      <c r="H285" s="33" t="str">
        <f>配置表!S284</f>
        <v/>
      </c>
      <c r="I285" s="10">
        <f>配置表!T284</f>
        <v>0</v>
      </c>
      <c r="J285" s="10" t="str">
        <f>配置表!U284</f>
        <v>●</v>
      </c>
      <c r="K285" s="32">
        <f>配置表!V284</f>
        <v>0</v>
      </c>
      <c r="L285" s="33" t="str">
        <f>配置表!W284</f>
        <v>◎</v>
      </c>
      <c r="M285" s="32">
        <f>配置表!X284</f>
        <v>0</v>
      </c>
      <c r="N285" s="33" t="str">
        <f>配置表!Y284</f>
        <v>○</v>
      </c>
      <c r="O285" s="32">
        <f>配置表!Z284</f>
        <v>5</v>
      </c>
      <c r="P285" s="33" t="str">
        <f>配置表!AA284</f>
        <v>○</v>
      </c>
      <c r="Q285" s="227">
        <f>配置表!AB284</f>
        <v>0.41666666666666669</v>
      </c>
      <c r="R285" s="227">
        <f>配置表!AC284</f>
        <v>0.70833333333333337</v>
      </c>
      <c r="S285" s="238" t="str">
        <f>配置表!AD284</f>
        <v/>
      </c>
      <c r="T285" s="63"/>
      <c r="U285" s="152"/>
      <c r="V285" s="155"/>
      <c r="W285" s="274"/>
      <c r="X285" s="275"/>
      <c r="Y285" s="158"/>
      <c r="Z285" s="182">
        <f>COUNTIF(P272:P302,V285)</f>
        <v>0</v>
      </c>
      <c r="AA285" s="154">
        <f t="shared" si="16"/>
        <v>0</v>
      </c>
      <c r="AB285" s="182"/>
      <c r="AC285" s="183">
        <f t="shared" si="17"/>
        <v>0</v>
      </c>
    </row>
    <row r="286" spans="1:30" ht="13.5">
      <c r="A286" s="28" t="str">
        <f>配置表!L285</f>
        <v>閉</v>
      </c>
      <c r="B286" s="9">
        <f>配置表!M285</f>
        <v>46006</v>
      </c>
      <c r="C286" s="10" t="str">
        <f>配置表!N285</f>
        <v>月</v>
      </c>
      <c r="D286" s="63" t="str">
        <f>配置表!O285</f>
        <v>冬　特別展</v>
      </c>
      <c r="E286" s="63" t="str">
        <f>配置表!P285</f>
        <v>テーマ展</v>
      </c>
      <c r="F286" s="44" t="str">
        <f>配置表!Q285</f>
        <v>休</v>
      </c>
      <c r="G286" s="32">
        <f>配置表!R285</f>
        <v>0</v>
      </c>
      <c r="H286" s="33" t="str">
        <f>配置表!S285</f>
        <v>休</v>
      </c>
      <c r="I286" s="32">
        <f>配置表!T285</f>
        <v>0</v>
      </c>
      <c r="J286" s="33" t="str">
        <f>配置表!U285</f>
        <v>休</v>
      </c>
      <c r="K286" s="32">
        <f>配置表!V285</f>
        <v>0</v>
      </c>
      <c r="L286" s="33" t="str">
        <f>配置表!W285</f>
        <v>休</v>
      </c>
      <c r="M286" s="32">
        <f>配置表!X285</f>
        <v>0</v>
      </c>
      <c r="N286" s="33" t="str">
        <f>配置表!Y285</f>
        <v>休</v>
      </c>
      <c r="O286" s="32" t="str">
        <f>配置表!Z285</f>
        <v/>
      </c>
      <c r="P286" s="33" t="str">
        <f>配置表!AA285</f>
        <v>休</v>
      </c>
      <c r="Q286" s="227" t="str">
        <f>配置表!AB285</f>
        <v/>
      </c>
      <c r="R286" s="227" t="str">
        <f>配置表!AC285</f>
        <v/>
      </c>
      <c r="S286" s="238" t="str">
        <f>配置表!AD285</f>
        <v/>
      </c>
      <c r="T286" s="63"/>
      <c r="U286" s="152" t="s">
        <v>69</v>
      </c>
      <c r="V286" s="155" t="s">
        <v>66</v>
      </c>
      <c r="W286" s="274" t="s">
        <v>127</v>
      </c>
      <c r="X286" s="275">
        <v>7.5</v>
      </c>
      <c r="Y286" s="158">
        <v>5</v>
      </c>
      <c r="Z286" s="182">
        <f>COUNTIF(P272:P302,V286)</f>
        <v>21</v>
      </c>
      <c r="AA286" s="154">
        <f t="shared" si="16"/>
        <v>787.5</v>
      </c>
      <c r="AB286" s="182">
        <f>AB$22</f>
        <v>0</v>
      </c>
      <c r="AC286" s="183">
        <f t="shared" si="17"/>
        <v>0</v>
      </c>
    </row>
    <row r="287" spans="1:30" ht="13.5">
      <c r="A287" s="28" t="str">
        <f>配置表!L286</f>
        <v/>
      </c>
      <c r="B287" s="9">
        <f>配置表!M286</f>
        <v>46007</v>
      </c>
      <c r="C287" s="10" t="str">
        <f>配置表!N286</f>
        <v>火</v>
      </c>
      <c r="D287" s="63" t="str">
        <f>配置表!O286</f>
        <v>冬　特別展</v>
      </c>
      <c r="E287" s="63" t="str">
        <f>配置表!P286</f>
        <v>テーマ展</v>
      </c>
      <c r="F287" s="45" t="str">
        <f>配置表!Q286</f>
        <v>○</v>
      </c>
      <c r="G287" s="45">
        <f>配置表!R286</f>
        <v>0</v>
      </c>
      <c r="H287" s="33" t="str">
        <f>配置表!S286</f>
        <v/>
      </c>
      <c r="I287" s="10">
        <f>配置表!T286</f>
        <v>0</v>
      </c>
      <c r="J287" s="10" t="str">
        <f>配置表!U286</f>
        <v>●</v>
      </c>
      <c r="K287" s="32">
        <f>配置表!V286</f>
        <v>0</v>
      </c>
      <c r="L287" s="33" t="str">
        <f>配置表!W286</f>
        <v/>
      </c>
      <c r="M287" s="32">
        <f>配置表!X286</f>
        <v>0</v>
      </c>
      <c r="N287" s="33" t="str">
        <f>配置表!Y286</f>
        <v>○</v>
      </c>
      <c r="O287" s="32">
        <f>配置表!Z286</f>
        <v>5</v>
      </c>
      <c r="P287" s="33" t="str">
        <f>配置表!AA286</f>
        <v>○</v>
      </c>
      <c r="Q287" s="227">
        <f>配置表!AB286</f>
        <v>0.41666666666666669</v>
      </c>
      <c r="R287" s="227">
        <f>配置表!AC286</f>
        <v>0.70833333333333337</v>
      </c>
      <c r="S287" s="238" t="str">
        <f>配置表!AD286</f>
        <v/>
      </c>
      <c r="T287" s="63"/>
      <c r="U287" s="187" t="s">
        <v>69</v>
      </c>
      <c r="V287" s="155" t="s">
        <v>75</v>
      </c>
      <c r="W287" s="274" t="s">
        <v>127</v>
      </c>
      <c r="X287" s="275">
        <v>7.5</v>
      </c>
      <c r="Y287" s="158">
        <v>1</v>
      </c>
      <c r="Z287" s="186">
        <f>COUNTIF(P272:P302,V287)+Z288</f>
        <v>4</v>
      </c>
      <c r="AA287" s="154">
        <f t="shared" si="16"/>
        <v>30</v>
      </c>
      <c r="AB287" s="182">
        <f>AB$56</f>
        <v>0</v>
      </c>
      <c r="AC287" s="183">
        <f t="shared" si="17"/>
        <v>0</v>
      </c>
      <c r="AD287" s="1" t="s">
        <v>95</v>
      </c>
    </row>
    <row r="288" spans="1:30" ht="13.5">
      <c r="A288" s="28" t="str">
        <f>配置表!L287</f>
        <v/>
      </c>
      <c r="B288" s="9">
        <f>配置表!M287</f>
        <v>46008</v>
      </c>
      <c r="C288" s="10" t="str">
        <f>配置表!N287</f>
        <v>水</v>
      </c>
      <c r="D288" s="63" t="str">
        <f>配置表!O287</f>
        <v>冬　特別展</v>
      </c>
      <c r="E288" s="63" t="str">
        <f>配置表!P287</f>
        <v>テーマ展</v>
      </c>
      <c r="F288" s="45" t="str">
        <f>配置表!Q287</f>
        <v>○</v>
      </c>
      <c r="G288" s="45">
        <f>配置表!R287</f>
        <v>0</v>
      </c>
      <c r="H288" s="33" t="str">
        <f>配置表!S287</f>
        <v/>
      </c>
      <c r="I288" s="10">
        <f>配置表!T287</f>
        <v>0</v>
      </c>
      <c r="J288" s="10" t="str">
        <f>配置表!U287</f>
        <v>●</v>
      </c>
      <c r="K288" s="32">
        <f>配置表!V287</f>
        <v>0</v>
      </c>
      <c r="L288" s="33" t="str">
        <f>配置表!W287</f>
        <v/>
      </c>
      <c r="M288" s="32">
        <f>配置表!X287</f>
        <v>0</v>
      </c>
      <c r="N288" s="33" t="str">
        <f>配置表!Y287</f>
        <v>○</v>
      </c>
      <c r="O288" s="32">
        <f>配置表!Z287</f>
        <v>5</v>
      </c>
      <c r="P288" s="33" t="str">
        <f>配置表!AA287</f>
        <v>○</v>
      </c>
      <c r="Q288" s="227">
        <f>配置表!AB287</f>
        <v>0.41666666666666669</v>
      </c>
      <c r="R288" s="227">
        <f>配置表!AC287</f>
        <v>0.70833333333333337</v>
      </c>
      <c r="S288" s="238" t="str">
        <f>配置表!AD287</f>
        <v/>
      </c>
      <c r="T288" s="63"/>
      <c r="U288" s="152" t="s">
        <v>69</v>
      </c>
      <c r="V288" s="155" t="s">
        <v>93</v>
      </c>
      <c r="W288" s="155" t="s">
        <v>154</v>
      </c>
      <c r="X288" s="191">
        <v>2.75</v>
      </c>
      <c r="Y288" s="158">
        <v>4</v>
      </c>
      <c r="Z288" s="186">
        <f>COUNTIF(P272:P302,V288)</f>
        <v>0</v>
      </c>
      <c r="AA288" s="154">
        <f t="shared" si="16"/>
        <v>0</v>
      </c>
      <c r="AB288" s="182"/>
      <c r="AC288" s="183">
        <f t="shared" si="17"/>
        <v>0</v>
      </c>
    </row>
    <row r="289" spans="1:29" ht="13.5">
      <c r="A289" s="28" t="str">
        <f>配置表!L288</f>
        <v/>
      </c>
      <c r="B289" s="9">
        <f>配置表!M288</f>
        <v>46009</v>
      </c>
      <c r="C289" s="10" t="str">
        <f>配置表!N288</f>
        <v>木</v>
      </c>
      <c r="D289" s="63" t="str">
        <f>配置表!O288</f>
        <v>冬　特別展</v>
      </c>
      <c r="E289" s="63" t="str">
        <f>配置表!P288</f>
        <v>テーマ展</v>
      </c>
      <c r="F289" s="45" t="str">
        <f>配置表!Q288</f>
        <v>○</v>
      </c>
      <c r="G289" s="45">
        <f>配置表!R288</f>
        <v>0</v>
      </c>
      <c r="H289" s="33" t="str">
        <f>配置表!S288</f>
        <v/>
      </c>
      <c r="I289" s="10">
        <f>配置表!T288</f>
        <v>0</v>
      </c>
      <c r="J289" s="10" t="str">
        <f>配置表!U288</f>
        <v>●</v>
      </c>
      <c r="K289" s="32">
        <f>配置表!V288</f>
        <v>0</v>
      </c>
      <c r="L289" s="33" t="str">
        <f>配置表!W288</f>
        <v/>
      </c>
      <c r="M289" s="32">
        <f>配置表!X288</f>
        <v>0</v>
      </c>
      <c r="N289" s="33" t="str">
        <f>配置表!Y288</f>
        <v>○</v>
      </c>
      <c r="O289" s="32">
        <f>配置表!Z288</f>
        <v>5</v>
      </c>
      <c r="P289" s="33" t="str">
        <f>配置表!AA288</f>
        <v>○</v>
      </c>
      <c r="Q289" s="227">
        <f>配置表!AB288</f>
        <v>0.41666666666666669</v>
      </c>
      <c r="R289" s="227">
        <f>配置表!AC288</f>
        <v>0.70833333333333337</v>
      </c>
      <c r="S289" s="238" t="str">
        <f>配置表!AD288</f>
        <v/>
      </c>
      <c r="T289" s="63"/>
      <c r="U289" s="159" t="s">
        <v>64</v>
      </c>
      <c r="V289" s="160"/>
      <c r="W289" s="160"/>
      <c r="X289" s="188"/>
      <c r="Y289" s="188"/>
      <c r="Z289" s="189">
        <f>SUM(Z272:Z288)</f>
        <v>108</v>
      </c>
      <c r="AA289" s="190">
        <f>SUM(AA272:AA288)</f>
        <v>1426.25</v>
      </c>
      <c r="AB289" s="182"/>
      <c r="AC289" s="183">
        <f>SUM(AC272:AC288)</f>
        <v>0</v>
      </c>
    </row>
    <row r="290" spans="1:29" ht="14.25" thickBot="1">
      <c r="A290" s="28" t="str">
        <f>配置表!L289</f>
        <v/>
      </c>
      <c r="B290" s="9">
        <f>配置表!M289</f>
        <v>46010</v>
      </c>
      <c r="C290" s="10" t="str">
        <f>配置表!N289</f>
        <v>金</v>
      </c>
      <c r="D290" s="63" t="str">
        <f>配置表!O289</f>
        <v>冬　特別展</v>
      </c>
      <c r="E290" s="63" t="str">
        <f>配置表!P289</f>
        <v>テーマ展</v>
      </c>
      <c r="F290" s="45" t="str">
        <f>配置表!Q289</f>
        <v>○</v>
      </c>
      <c r="G290" s="45">
        <f>配置表!R289</f>
        <v>0</v>
      </c>
      <c r="H290" s="33" t="str">
        <f>配置表!S289</f>
        <v/>
      </c>
      <c r="I290" s="10">
        <f>配置表!T289</f>
        <v>0</v>
      </c>
      <c r="J290" s="10" t="str">
        <f>配置表!U289</f>
        <v>●</v>
      </c>
      <c r="K290" s="32">
        <f>配置表!V289</f>
        <v>0</v>
      </c>
      <c r="L290" s="33" t="str">
        <f>配置表!W289</f>
        <v/>
      </c>
      <c r="M290" s="32">
        <f>配置表!X289</f>
        <v>0</v>
      </c>
      <c r="N290" s="33" t="str">
        <f>配置表!Y289</f>
        <v>○</v>
      </c>
      <c r="O290" s="32">
        <f>配置表!Z289</f>
        <v>5</v>
      </c>
      <c r="P290" s="33" t="str">
        <f>配置表!AA289</f>
        <v>○</v>
      </c>
      <c r="Q290" s="227">
        <f>配置表!AB289</f>
        <v>0.41666666666666669</v>
      </c>
      <c r="R290" s="227">
        <f>配置表!AC289</f>
        <v>0.70833333333333337</v>
      </c>
      <c r="S290" s="238" t="str">
        <f>配置表!AD289</f>
        <v/>
      </c>
      <c r="T290" s="63"/>
      <c r="U290" s="178" t="s">
        <v>65</v>
      </c>
      <c r="V290" s="179"/>
      <c r="W290" s="179"/>
      <c r="X290" s="180"/>
      <c r="Y290" s="180"/>
      <c r="Z290" s="180"/>
      <c r="AA290" s="170"/>
      <c r="AB290" s="184"/>
      <c r="AC290" s="185">
        <f>ROUNDDOWN(AC289*1.1,0)</f>
        <v>0</v>
      </c>
    </row>
    <row r="291" spans="1:29">
      <c r="A291" s="28" t="str">
        <f>配置表!L290</f>
        <v/>
      </c>
      <c r="B291" s="9">
        <f>配置表!M290</f>
        <v>46011</v>
      </c>
      <c r="C291" s="10" t="str">
        <f>配置表!N290</f>
        <v>土</v>
      </c>
      <c r="D291" s="63" t="str">
        <f>配置表!O290</f>
        <v>冬　特別展</v>
      </c>
      <c r="E291" s="63" t="str">
        <f>配置表!P290</f>
        <v>テーマ展</v>
      </c>
      <c r="F291" s="45" t="str">
        <f>配置表!Q290</f>
        <v>○</v>
      </c>
      <c r="G291" s="45">
        <f>配置表!R290</f>
        <v>0</v>
      </c>
      <c r="H291" s="33" t="str">
        <f>配置表!S290</f>
        <v/>
      </c>
      <c r="I291" s="10">
        <f>配置表!T290</f>
        <v>0</v>
      </c>
      <c r="J291" s="10" t="str">
        <f>配置表!U290</f>
        <v>●</v>
      </c>
      <c r="K291" s="32">
        <f>配置表!V290</f>
        <v>0</v>
      </c>
      <c r="L291" s="33" t="str">
        <f>配置表!W290</f>
        <v>◎</v>
      </c>
      <c r="M291" s="32">
        <f>配置表!X290</f>
        <v>0</v>
      </c>
      <c r="N291" s="33" t="str">
        <f>配置表!Y290</f>
        <v>○</v>
      </c>
      <c r="O291" s="32">
        <f>配置表!Z290</f>
        <v>5</v>
      </c>
      <c r="P291" s="33" t="str">
        <f>配置表!AA290</f>
        <v>○</v>
      </c>
      <c r="Q291" s="227">
        <f>配置表!AB290</f>
        <v>0.41666666666666669</v>
      </c>
      <c r="R291" s="227">
        <f>配置表!AC290</f>
        <v>0.70833333333333337</v>
      </c>
      <c r="S291" s="238" t="str">
        <f>配置表!AD290</f>
        <v/>
      </c>
      <c r="T291" s="63"/>
    </row>
    <row r="292" spans="1:29">
      <c r="A292" s="28" t="str">
        <f>配置表!L291</f>
        <v/>
      </c>
      <c r="B292" s="9">
        <f>配置表!M291</f>
        <v>46012</v>
      </c>
      <c r="C292" s="10" t="str">
        <f>配置表!N291</f>
        <v>日</v>
      </c>
      <c r="D292" s="63" t="str">
        <f>配置表!O291</f>
        <v>冬　特別展</v>
      </c>
      <c r="E292" s="63" t="str">
        <f>配置表!P291</f>
        <v>テーマ展</v>
      </c>
      <c r="F292" s="45" t="str">
        <f>配置表!Q291</f>
        <v>○</v>
      </c>
      <c r="G292" s="45">
        <f>配置表!R291</f>
        <v>0</v>
      </c>
      <c r="H292" s="33" t="str">
        <f>配置表!S291</f>
        <v/>
      </c>
      <c r="I292" s="10">
        <f>配置表!T291</f>
        <v>0</v>
      </c>
      <c r="J292" s="10" t="str">
        <f>配置表!U291</f>
        <v>●</v>
      </c>
      <c r="K292" s="32">
        <f>配置表!V291</f>
        <v>0</v>
      </c>
      <c r="L292" s="33" t="str">
        <f>配置表!W291</f>
        <v>◎</v>
      </c>
      <c r="M292" s="32">
        <f>配置表!X291</f>
        <v>0</v>
      </c>
      <c r="N292" s="33" t="str">
        <f>配置表!Y291</f>
        <v>○</v>
      </c>
      <c r="O292" s="32">
        <f>配置表!Z291</f>
        <v>5</v>
      </c>
      <c r="P292" s="33" t="str">
        <f>配置表!AA291</f>
        <v>○</v>
      </c>
      <c r="Q292" s="227">
        <f>配置表!AB291</f>
        <v>0.41666666666666669</v>
      </c>
      <c r="R292" s="227">
        <f>配置表!AC291</f>
        <v>0.70833333333333337</v>
      </c>
      <c r="S292" s="238" t="str">
        <f>配置表!AD291</f>
        <v/>
      </c>
      <c r="T292" s="63"/>
    </row>
    <row r="293" spans="1:29">
      <c r="A293" s="28" t="str">
        <f>配置表!L292</f>
        <v>閉</v>
      </c>
      <c r="B293" s="9">
        <f>配置表!M292</f>
        <v>46013</v>
      </c>
      <c r="C293" s="10" t="str">
        <f>配置表!N292</f>
        <v>月</v>
      </c>
      <c r="D293" s="63" t="str">
        <f>配置表!O292</f>
        <v>冬　特別展</v>
      </c>
      <c r="E293" s="63" t="str">
        <f>配置表!P292</f>
        <v>テーマ展</v>
      </c>
      <c r="F293" s="44" t="str">
        <f>配置表!Q292</f>
        <v>休</v>
      </c>
      <c r="G293" s="32">
        <f>配置表!R292</f>
        <v>0</v>
      </c>
      <c r="H293" s="33" t="str">
        <f>配置表!S292</f>
        <v>休</v>
      </c>
      <c r="I293" s="32">
        <f>配置表!T292</f>
        <v>0</v>
      </c>
      <c r="J293" s="33" t="str">
        <f>配置表!U292</f>
        <v>休</v>
      </c>
      <c r="K293" s="32">
        <f>配置表!V292</f>
        <v>0</v>
      </c>
      <c r="L293" s="33" t="str">
        <f>配置表!W292</f>
        <v>休</v>
      </c>
      <c r="M293" s="32">
        <f>配置表!X292</f>
        <v>0</v>
      </c>
      <c r="N293" s="33" t="str">
        <f>配置表!Y292</f>
        <v>休</v>
      </c>
      <c r="O293" s="32" t="str">
        <f>配置表!Z292</f>
        <v/>
      </c>
      <c r="P293" s="33" t="str">
        <f>配置表!AA292</f>
        <v>休</v>
      </c>
      <c r="Q293" s="227" t="str">
        <f>配置表!AB292</f>
        <v/>
      </c>
      <c r="R293" s="227" t="str">
        <f>配置表!AC292</f>
        <v/>
      </c>
      <c r="S293" s="238" t="str">
        <f>配置表!AD292</f>
        <v/>
      </c>
      <c r="T293" s="63"/>
    </row>
    <row r="294" spans="1:29">
      <c r="A294" s="28" t="str">
        <f>配置表!L293</f>
        <v/>
      </c>
      <c r="B294" s="9">
        <f>配置表!M293</f>
        <v>46014</v>
      </c>
      <c r="C294" s="10" t="str">
        <f>配置表!N293</f>
        <v>火</v>
      </c>
      <c r="D294" s="63" t="str">
        <f>配置表!O293</f>
        <v>冬　特別展</v>
      </c>
      <c r="E294" s="63" t="str">
        <f>配置表!P293</f>
        <v>テーマ展</v>
      </c>
      <c r="F294" s="45" t="str">
        <f>配置表!Q293</f>
        <v>○</v>
      </c>
      <c r="G294" s="45">
        <f>配置表!R293</f>
        <v>0</v>
      </c>
      <c r="H294" s="33" t="str">
        <f>配置表!S293</f>
        <v/>
      </c>
      <c r="I294" s="10">
        <f>配置表!T293</f>
        <v>0</v>
      </c>
      <c r="J294" s="10" t="str">
        <f>配置表!U293</f>
        <v>●</v>
      </c>
      <c r="K294" s="32">
        <f>配置表!V293</f>
        <v>0</v>
      </c>
      <c r="L294" s="33" t="str">
        <f>配置表!W293</f>
        <v/>
      </c>
      <c r="M294" s="32">
        <f>配置表!X293</f>
        <v>0</v>
      </c>
      <c r="N294" s="33" t="str">
        <f>配置表!Y293</f>
        <v>○</v>
      </c>
      <c r="O294" s="32">
        <f>配置表!Z293</f>
        <v>5</v>
      </c>
      <c r="P294" s="33" t="str">
        <f>配置表!AA293</f>
        <v>○</v>
      </c>
      <c r="Q294" s="227">
        <f>配置表!AB293</f>
        <v>0.41666666666666669</v>
      </c>
      <c r="R294" s="227">
        <f>配置表!AC293</f>
        <v>0.70833333333333337</v>
      </c>
      <c r="S294" s="238" t="str">
        <f>配置表!AD293</f>
        <v/>
      </c>
      <c r="T294" s="63"/>
    </row>
    <row r="295" spans="1:29">
      <c r="A295" s="28" t="str">
        <f>配置表!L294</f>
        <v/>
      </c>
      <c r="B295" s="9">
        <f>配置表!M294</f>
        <v>46015</v>
      </c>
      <c r="C295" s="10" t="str">
        <f>配置表!N294</f>
        <v>水</v>
      </c>
      <c r="D295" s="63" t="str">
        <f>配置表!O294</f>
        <v>冬　特別展</v>
      </c>
      <c r="E295" s="63" t="str">
        <f>配置表!P294</f>
        <v>テーマ展</v>
      </c>
      <c r="F295" s="45" t="str">
        <f>配置表!Q294</f>
        <v>○</v>
      </c>
      <c r="G295" s="45">
        <f>配置表!R294</f>
        <v>0</v>
      </c>
      <c r="H295" s="33" t="str">
        <f>配置表!S294</f>
        <v/>
      </c>
      <c r="I295" s="10">
        <f>配置表!T294</f>
        <v>0</v>
      </c>
      <c r="J295" s="10" t="str">
        <f>配置表!U294</f>
        <v>●</v>
      </c>
      <c r="K295" s="32">
        <f>配置表!V294</f>
        <v>0</v>
      </c>
      <c r="L295" s="33" t="str">
        <f>配置表!W294</f>
        <v/>
      </c>
      <c r="M295" s="32">
        <f>配置表!X294</f>
        <v>0</v>
      </c>
      <c r="N295" s="33" t="str">
        <f>配置表!Y294</f>
        <v>○</v>
      </c>
      <c r="O295" s="32">
        <f>配置表!Z294</f>
        <v>5</v>
      </c>
      <c r="P295" s="33" t="str">
        <f>配置表!AA294</f>
        <v>○</v>
      </c>
      <c r="Q295" s="227">
        <f>配置表!AB294</f>
        <v>0.41666666666666669</v>
      </c>
      <c r="R295" s="227">
        <f>配置表!AC294</f>
        <v>0.70833333333333337</v>
      </c>
      <c r="S295" s="238" t="str">
        <f>配置表!AD294</f>
        <v/>
      </c>
      <c r="T295" s="63"/>
    </row>
    <row r="296" spans="1:29">
      <c r="A296" s="28" t="str">
        <f>配置表!L295</f>
        <v/>
      </c>
      <c r="B296" s="9">
        <f>配置表!M295</f>
        <v>46016</v>
      </c>
      <c r="C296" s="10" t="str">
        <f>配置表!N295</f>
        <v>木</v>
      </c>
      <c r="D296" s="63" t="str">
        <f>配置表!O295</f>
        <v>冬　特別展</v>
      </c>
      <c r="E296" s="63" t="str">
        <f>配置表!P295</f>
        <v>テーマ展</v>
      </c>
      <c r="F296" s="45" t="str">
        <f>配置表!Q295</f>
        <v>○</v>
      </c>
      <c r="G296" s="45">
        <f>配置表!R295</f>
        <v>0</v>
      </c>
      <c r="H296" s="33" t="str">
        <f>配置表!S295</f>
        <v/>
      </c>
      <c r="I296" s="10">
        <f>配置表!T295</f>
        <v>0</v>
      </c>
      <c r="J296" s="10" t="str">
        <f>配置表!U295</f>
        <v>●</v>
      </c>
      <c r="K296" s="32">
        <f>配置表!V295</f>
        <v>0</v>
      </c>
      <c r="L296" s="33" t="str">
        <f>配置表!W295</f>
        <v/>
      </c>
      <c r="M296" s="32">
        <f>配置表!X295</f>
        <v>0</v>
      </c>
      <c r="N296" s="33" t="str">
        <f>配置表!Y295</f>
        <v>○</v>
      </c>
      <c r="O296" s="32">
        <f>配置表!Z295</f>
        <v>5</v>
      </c>
      <c r="P296" s="33" t="str">
        <f>配置表!AA295</f>
        <v>○</v>
      </c>
      <c r="Q296" s="227">
        <f>配置表!AB295</f>
        <v>0.41666666666666669</v>
      </c>
      <c r="R296" s="227">
        <f>配置表!AC295</f>
        <v>0.70833333333333337</v>
      </c>
      <c r="S296" s="238" t="str">
        <f>配置表!AD295</f>
        <v/>
      </c>
      <c r="T296" s="63"/>
    </row>
    <row r="297" spans="1:29">
      <c r="A297" s="28" t="str">
        <f>配置表!L296</f>
        <v/>
      </c>
      <c r="B297" s="9">
        <f>配置表!M296</f>
        <v>46017</v>
      </c>
      <c r="C297" s="10" t="str">
        <f>配置表!N296</f>
        <v>金</v>
      </c>
      <c r="D297" s="63" t="str">
        <f>配置表!O296</f>
        <v>冬　特別展</v>
      </c>
      <c r="E297" s="63" t="str">
        <f>配置表!P296</f>
        <v>テーマ展</v>
      </c>
      <c r="F297" s="45" t="str">
        <f>配置表!Q296</f>
        <v>○</v>
      </c>
      <c r="G297" s="45">
        <f>配置表!R296</f>
        <v>0</v>
      </c>
      <c r="H297" s="33" t="str">
        <f>配置表!S296</f>
        <v/>
      </c>
      <c r="I297" s="10">
        <f>配置表!T296</f>
        <v>0</v>
      </c>
      <c r="J297" s="10" t="str">
        <f>配置表!U296</f>
        <v>●</v>
      </c>
      <c r="K297" s="32">
        <f>配置表!V296</f>
        <v>0</v>
      </c>
      <c r="L297" s="33" t="str">
        <f>配置表!W296</f>
        <v/>
      </c>
      <c r="M297" s="32">
        <f>配置表!X296</f>
        <v>0</v>
      </c>
      <c r="N297" s="33" t="str">
        <f>配置表!Y296</f>
        <v>○</v>
      </c>
      <c r="O297" s="32">
        <f>配置表!Z296</f>
        <v>5</v>
      </c>
      <c r="P297" s="33" t="str">
        <f>配置表!AA296</f>
        <v>○</v>
      </c>
      <c r="Q297" s="227">
        <f>配置表!AB296</f>
        <v>0.41666666666666669</v>
      </c>
      <c r="R297" s="227">
        <f>配置表!AC296</f>
        <v>0.70833333333333337</v>
      </c>
      <c r="S297" s="238" t="str">
        <f>配置表!AD296</f>
        <v/>
      </c>
      <c r="T297" s="63"/>
    </row>
    <row r="298" spans="1:29">
      <c r="A298" s="28" t="str">
        <f>配置表!L297</f>
        <v/>
      </c>
      <c r="B298" s="9">
        <f>配置表!M297</f>
        <v>46018</v>
      </c>
      <c r="C298" s="10" t="str">
        <f>配置表!N297</f>
        <v>土</v>
      </c>
      <c r="D298" s="63" t="str">
        <f>配置表!O297</f>
        <v>冬　特別展</v>
      </c>
      <c r="E298" s="63" t="str">
        <f>配置表!P297</f>
        <v>テーマ展</v>
      </c>
      <c r="F298" s="45" t="str">
        <f>配置表!Q297</f>
        <v>○</v>
      </c>
      <c r="G298" s="45">
        <f>配置表!R297</f>
        <v>0</v>
      </c>
      <c r="H298" s="33" t="str">
        <f>配置表!S297</f>
        <v/>
      </c>
      <c r="I298" s="10">
        <f>配置表!T297</f>
        <v>0</v>
      </c>
      <c r="J298" s="10" t="str">
        <f>配置表!U297</f>
        <v>●</v>
      </c>
      <c r="K298" s="32">
        <f>配置表!V297</f>
        <v>0</v>
      </c>
      <c r="L298" s="33" t="str">
        <f>配置表!W297</f>
        <v>◎</v>
      </c>
      <c r="M298" s="32">
        <f>配置表!X297</f>
        <v>0</v>
      </c>
      <c r="N298" s="33" t="str">
        <f>配置表!Y297</f>
        <v>○</v>
      </c>
      <c r="O298" s="32">
        <f>配置表!Z297</f>
        <v>5</v>
      </c>
      <c r="P298" s="33" t="str">
        <f>配置表!AA297</f>
        <v>○</v>
      </c>
      <c r="Q298" s="227">
        <f>配置表!AB297</f>
        <v>0.41666666666666669</v>
      </c>
      <c r="R298" s="227">
        <f>配置表!AC297</f>
        <v>0.70833333333333337</v>
      </c>
      <c r="S298" s="238" t="str">
        <f>配置表!AD297</f>
        <v/>
      </c>
      <c r="T298" s="63"/>
    </row>
    <row r="299" spans="1:29">
      <c r="A299" s="28" t="str">
        <f>配置表!L298</f>
        <v/>
      </c>
      <c r="B299" s="9">
        <f>配置表!M298</f>
        <v>46019</v>
      </c>
      <c r="C299" s="10" t="str">
        <f>配置表!N298</f>
        <v>日</v>
      </c>
      <c r="D299" s="63" t="str">
        <f>配置表!O298</f>
        <v>冬　特別展</v>
      </c>
      <c r="E299" s="63" t="str">
        <f>配置表!P298</f>
        <v>テーマ展</v>
      </c>
      <c r="F299" s="45" t="str">
        <f>配置表!Q298</f>
        <v>○</v>
      </c>
      <c r="G299" s="45">
        <f>配置表!R298</f>
        <v>0</v>
      </c>
      <c r="H299" s="33" t="str">
        <f>配置表!S298</f>
        <v/>
      </c>
      <c r="I299" s="10">
        <f>配置表!T298</f>
        <v>0</v>
      </c>
      <c r="J299" s="10" t="str">
        <f>配置表!U298</f>
        <v>●</v>
      </c>
      <c r="K299" s="32">
        <f>配置表!V298</f>
        <v>0</v>
      </c>
      <c r="L299" s="33" t="str">
        <f>配置表!W298</f>
        <v>◎</v>
      </c>
      <c r="M299" s="32">
        <f>配置表!X298</f>
        <v>0</v>
      </c>
      <c r="N299" s="33" t="str">
        <f>配置表!Y298</f>
        <v>○</v>
      </c>
      <c r="O299" s="32">
        <f>配置表!Z298</f>
        <v>5</v>
      </c>
      <c r="P299" s="33" t="str">
        <f>配置表!AA298</f>
        <v>○</v>
      </c>
      <c r="Q299" s="227">
        <f>配置表!AB298</f>
        <v>0.41666666666666669</v>
      </c>
      <c r="R299" s="227">
        <f>配置表!AC298</f>
        <v>0.70833333333333337</v>
      </c>
      <c r="S299" s="238" t="str">
        <f>配置表!AD298</f>
        <v/>
      </c>
      <c r="T299" s="63"/>
    </row>
    <row r="300" spans="1:29">
      <c r="A300" s="28" t="str">
        <f>配置表!L299</f>
        <v>閉</v>
      </c>
      <c r="B300" s="9">
        <f>配置表!M299</f>
        <v>46020</v>
      </c>
      <c r="C300" s="10" t="str">
        <f>配置表!N299</f>
        <v>月</v>
      </c>
      <c r="D300" s="63" t="str">
        <f>配置表!O299</f>
        <v>冬　特別展</v>
      </c>
      <c r="E300" s="63" t="str">
        <f>配置表!P299</f>
        <v>テーマ展</v>
      </c>
      <c r="F300" s="44" t="str">
        <f>配置表!Q299</f>
        <v>休</v>
      </c>
      <c r="G300" s="32">
        <f>配置表!R299</f>
        <v>0</v>
      </c>
      <c r="H300" s="33" t="str">
        <f>配置表!S299</f>
        <v>休</v>
      </c>
      <c r="I300" s="32">
        <f>配置表!T299</f>
        <v>0</v>
      </c>
      <c r="J300" s="33" t="str">
        <f>配置表!U299</f>
        <v>休</v>
      </c>
      <c r="K300" s="32">
        <f>配置表!V299</f>
        <v>0</v>
      </c>
      <c r="L300" s="33" t="str">
        <f>配置表!W299</f>
        <v>休</v>
      </c>
      <c r="M300" s="32">
        <f>配置表!X299</f>
        <v>0</v>
      </c>
      <c r="N300" s="33" t="str">
        <f>配置表!Y299</f>
        <v>休</v>
      </c>
      <c r="O300" s="32" t="str">
        <f>配置表!Z299</f>
        <v/>
      </c>
      <c r="P300" s="33" t="str">
        <f>配置表!AA299</f>
        <v>休</v>
      </c>
      <c r="Q300" s="227" t="str">
        <f>配置表!AB299</f>
        <v/>
      </c>
      <c r="R300" s="227" t="str">
        <f>配置表!AC299</f>
        <v/>
      </c>
      <c r="S300" s="238" t="str">
        <f>配置表!AD299</f>
        <v/>
      </c>
      <c r="T300" s="63"/>
    </row>
    <row r="301" spans="1:29">
      <c r="A301" s="28" t="str">
        <f>配置表!L300</f>
        <v/>
      </c>
      <c r="B301" s="9">
        <f>配置表!M300</f>
        <v>46021</v>
      </c>
      <c r="C301" s="10" t="str">
        <f>配置表!N300</f>
        <v>火</v>
      </c>
      <c r="D301" s="63" t="str">
        <f>配置表!O300</f>
        <v>冬　特別展</v>
      </c>
      <c r="E301" s="63" t="str">
        <f>配置表!P300</f>
        <v>テーマ展</v>
      </c>
      <c r="F301" s="45" t="str">
        <f>配置表!Q300</f>
        <v>○</v>
      </c>
      <c r="G301" s="45">
        <f>配置表!R300</f>
        <v>0</v>
      </c>
      <c r="H301" s="33" t="str">
        <f>配置表!S300</f>
        <v/>
      </c>
      <c r="I301" s="10">
        <f>配置表!T300</f>
        <v>0</v>
      </c>
      <c r="J301" s="10" t="str">
        <f>配置表!U300</f>
        <v>●</v>
      </c>
      <c r="K301" s="32">
        <f>配置表!V300</f>
        <v>0</v>
      </c>
      <c r="L301" s="33" t="str">
        <f>配置表!W300</f>
        <v/>
      </c>
      <c r="M301" s="32">
        <f>配置表!X300</f>
        <v>0</v>
      </c>
      <c r="N301" s="33" t="str">
        <f>配置表!Y300</f>
        <v>○</v>
      </c>
      <c r="O301" s="32">
        <f>配置表!Z300</f>
        <v>5</v>
      </c>
      <c r="P301" s="33" t="str">
        <f>配置表!AA300</f>
        <v>○</v>
      </c>
      <c r="Q301" s="227">
        <f>配置表!AB300</f>
        <v>0.41666666666666669</v>
      </c>
      <c r="R301" s="227">
        <f>配置表!AC300</f>
        <v>0.70833333333333337</v>
      </c>
      <c r="S301" s="238" t="str">
        <f>配置表!AD300</f>
        <v/>
      </c>
      <c r="T301" s="63"/>
    </row>
    <row r="302" spans="1:29" ht="12" thickBot="1">
      <c r="A302" s="28" t="str">
        <f>配置表!L301</f>
        <v>閉</v>
      </c>
      <c r="B302" s="29">
        <f>配置表!M301</f>
        <v>46022</v>
      </c>
      <c r="C302" s="22" t="str">
        <f>配置表!N301</f>
        <v>水</v>
      </c>
      <c r="D302" s="65" t="str">
        <f>配置表!O301</f>
        <v>冬　特別展</v>
      </c>
      <c r="E302" s="65" t="str">
        <f>配置表!P301</f>
        <v>テーマ展</v>
      </c>
      <c r="F302" s="40" t="str">
        <f>配置表!Q301</f>
        <v>休</v>
      </c>
      <c r="G302" s="23">
        <f>配置表!R301</f>
        <v>0</v>
      </c>
      <c r="H302" s="34" t="str">
        <f>配置表!S301</f>
        <v>休</v>
      </c>
      <c r="I302" s="23">
        <f>配置表!T301</f>
        <v>0</v>
      </c>
      <c r="J302" s="34" t="str">
        <f>配置表!U301</f>
        <v>休</v>
      </c>
      <c r="K302" s="23">
        <f>配置表!V301</f>
        <v>0</v>
      </c>
      <c r="L302" s="34" t="str">
        <f>配置表!W301</f>
        <v>休</v>
      </c>
      <c r="M302" s="23">
        <f>配置表!X301</f>
        <v>0</v>
      </c>
      <c r="N302" s="34" t="str">
        <f>配置表!Y301</f>
        <v>休</v>
      </c>
      <c r="O302" s="23" t="str">
        <f>配置表!Z301</f>
        <v/>
      </c>
      <c r="P302" s="34" t="str">
        <f>配置表!AA301</f>
        <v>休</v>
      </c>
      <c r="Q302" s="240" t="str">
        <f>配置表!AB301</f>
        <v>閉館日</v>
      </c>
      <c r="R302" s="233" t="str">
        <f>配置表!AC301</f>
        <v/>
      </c>
      <c r="S302" s="239" t="str">
        <f>配置表!AD301</f>
        <v/>
      </c>
      <c r="T302" s="111"/>
    </row>
    <row r="303" spans="1:29" ht="14.25" thickBot="1">
      <c r="A303" s="28"/>
      <c r="B303" s="57"/>
      <c r="C303" s="50"/>
      <c r="D303" s="50"/>
      <c r="E303" s="50"/>
      <c r="F303" s="24">
        <f>COUNTIF(F272:F302,"○")</f>
        <v>25</v>
      </c>
      <c r="G303" s="50"/>
      <c r="H303" s="50"/>
      <c r="I303" s="37"/>
      <c r="J303" s="37"/>
      <c r="K303" s="50"/>
      <c r="L303" s="50"/>
      <c r="M303" s="50"/>
      <c r="N303" s="50"/>
      <c r="O303" s="50"/>
      <c r="P303" s="50"/>
      <c r="Q303" s="110" t="str">
        <f>IF(ISERROR(VLOOKUP(B303,データ!$A$3:$C$19,2,FALSE)),"",VLOOKUP(B303,データ!$A$3:$C$19,2,FALSE))</f>
        <v/>
      </c>
      <c r="R303" s="110"/>
      <c r="S303" s="110"/>
      <c r="T303" s="110"/>
    </row>
    <row r="304" spans="1:29" customFormat="1" ht="27.75" customHeight="1" thickBot="1">
      <c r="A304" s="28"/>
      <c r="B304" s="58"/>
      <c r="C304" s="59"/>
      <c r="D304" s="42" t="s">
        <v>5</v>
      </c>
      <c r="E304" s="42" t="s">
        <v>6</v>
      </c>
      <c r="F304" s="49" t="s">
        <v>8</v>
      </c>
      <c r="G304" s="354" t="s">
        <v>13</v>
      </c>
      <c r="H304" s="355"/>
      <c r="I304" s="354" t="s">
        <v>14</v>
      </c>
      <c r="J304" s="355"/>
      <c r="K304" s="354" t="s">
        <v>9</v>
      </c>
      <c r="L304" s="355"/>
      <c r="M304" s="354" t="s">
        <v>10</v>
      </c>
      <c r="N304" s="355"/>
      <c r="O304" s="354" t="s">
        <v>1</v>
      </c>
      <c r="P304" s="355"/>
      <c r="Q304" s="38" t="s">
        <v>114</v>
      </c>
      <c r="R304" s="38" t="s">
        <v>35</v>
      </c>
      <c r="S304" s="38" t="s">
        <v>116</v>
      </c>
      <c r="T304" s="63"/>
      <c r="U304" s="149" t="s">
        <v>83</v>
      </c>
      <c r="V304" s="156"/>
      <c r="W304" s="156" t="s">
        <v>74</v>
      </c>
      <c r="X304" s="175" t="s">
        <v>60</v>
      </c>
      <c r="Y304" s="175" t="s">
        <v>70</v>
      </c>
      <c r="Z304" s="150" t="s">
        <v>71</v>
      </c>
      <c r="AA304" s="150" t="s">
        <v>61</v>
      </c>
      <c r="AB304" s="150" t="s">
        <v>62</v>
      </c>
      <c r="AC304" s="151" t="s">
        <v>63</v>
      </c>
    </row>
    <row r="305" spans="1:30" ht="13.5">
      <c r="A305" s="28" t="str">
        <f>配置表!L304</f>
        <v>閉</v>
      </c>
      <c r="B305" s="25">
        <f>配置表!M304</f>
        <v>46023</v>
      </c>
      <c r="C305" s="24" t="str">
        <f>配置表!N304</f>
        <v>木</v>
      </c>
      <c r="D305" s="70" t="str">
        <f>配置表!O304</f>
        <v>冬　特別展</v>
      </c>
      <c r="E305" s="70" t="str">
        <f>配置表!P304</f>
        <v>テーマ展</v>
      </c>
      <c r="F305" s="44" t="str">
        <f>配置表!Q304</f>
        <v>休</v>
      </c>
      <c r="G305" s="35">
        <f>配置表!R304</f>
        <v>0</v>
      </c>
      <c r="H305" s="47" t="str">
        <f>配置表!S304</f>
        <v>休</v>
      </c>
      <c r="I305" s="35">
        <f>配置表!T304</f>
        <v>0</v>
      </c>
      <c r="J305" s="47" t="str">
        <f>配置表!U304</f>
        <v>休</v>
      </c>
      <c r="K305" s="35">
        <f>配置表!V304</f>
        <v>0</v>
      </c>
      <c r="L305" s="47" t="str">
        <f>配置表!W304</f>
        <v>休</v>
      </c>
      <c r="M305" s="35">
        <f>配置表!X304</f>
        <v>0</v>
      </c>
      <c r="N305" s="47" t="str">
        <f>配置表!Y304</f>
        <v>休</v>
      </c>
      <c r="O305" s="35" t="str">
        <f>配置表!Z304</f>
        <v/>
      </c>
      <c r="P305" s="47" t="str">
        <f>配置表!AA304</f>
        <v>休</v>
      </c>
      <c r="Q305" s="272" t="str">
        <f>配置表!AB304</f>
        <v>閉館日</v>
      </c>
      <c r="R305" s="232" t="str">
        <f>配置表!AC304</f>
        <v/>
      </c>
      <c r="S305" s="237" t="str">
        <f>配置表!AD304</f>
        <v>元日</v>
      </c>
      <c r="T305" s="111"/>
      <c r="U305" s="173" t="s">
        <v>88</v>
      </c>
      <c r="V305" s="156"/>
      <c r="W305" s="156"/>
      <c r="X305" s="176"/>
      <c r="Y305" s="177"/>
      <c r="Z305" s="181">
        <f>COUNTIF(F305:F335,V305)</f>
        <v>0</v>
      </c>
      <c r="AA305" s="174">
        <f>X305*Y305*Z305</f>
        <v>0</v>
      </c>
      <c r="AB305" s="181"/>
      <c r="AC305" s="315">
        <f>SUM(AA305*AB305)</f>
        <v>0</v>
      </c>
    </row>
    <row r="306" spans="1:30" ht="13.5">
      <c r="A306" s="28" t="str">
        <f>配置表!L305</f>
        <v/>
      </c>
      <c r="B306" s="9">
        <f>配置表!M305</f>
        <v>46024</v>
      </c>
      <c r="C306" s="10" t="str">
        <f>配置表!N305</f>
        <v>金</v>
      </c>
      <c r="D306" s="63" t="str">
        <f>配置表!O305</f>
        <v>冬　特別展</v>
      </c>
      <c r="E306" s="63" t="str">
        <f>配置表!P305</f>
        <v>テーマ展</v>
      </c>
      <c r="F306" s="45" t="str">
        <f>配置表!Q305</f>
        <v>○</v>
      </c>
      <c r="G306" s="45">
        <f>配置表!R305</f>
        <v>0</v>
      </c>
      <c r="H306" s="33" t="str">
        <f>配置表!S305</f>
        <v/>
      </c>
      <c r="I306" s="10">
        <f>配置表!T305</f>
        <v>0</v>
      </c>
      <c r="J306" s="10" t="str">
        <f>配置表!U305</f>
        <v>●</v>
      </c>
      <c r="K306" s="32">
        <f>配置表!V305</f>
        <v>0</v>
      </c>
      <c r="L306" s="33" t="str">
        <f>配置表!W305</f>
        <v/>
      </c>
      <c r="M306" s="32">
        <f>配置表!X305</f>
        <v>0</v>
      </c>
      <c r="N306" s="33" t="str">
        <f>配置表!Y305</f>
        <v>○</v>
      </c>
      <c r="O306" s="32">
        <f>配置表!Z305</f>
        <v>5</v>
      </c>
      <c r="P306" s="33" t="str">
        <f>配置表!AA305</f>
        <v>○</v>
      </c>
      <c r="Q306" s="227">
        <f>配置表!AB305</f>
        <v>0.41666666666666669</v>
      </c>
      <c r="R306" s="227">
        <f>配置表!AC305</f>
        <v>0.70833333333333337</v>
      </c>
      <c r="S306" s="238" t="str">
        <f>配置表!AD305</f>
        <v/>
      </c>
      <c r="T306" s="63"/>
      <c r="U306" s="152" t="s">
        <v>88</v>
      </c>
      <c r="V306" s="155" t="s">
        <v>66</v>
      </c>
      <c r="W306" s="274" t="s">
        <v>126</v>
      </c>
      <c r="X306" s="275">
        <v>8.5</v>
      </c>
      <c r="Y306" s="158">
        <v>1</v>
      </c>
      <c r="Z306" s="182">
        <f>COUNTIF(F305:F335,V306)</f>
        <v>26</v>
      </c>
      <c r="AA306" s="154">
        <f t="shared" ref="AA306:AA321" si="18">X306*Y306*Z306</f>
        <v>221</v>
      </c>
      <c r="AB306" s="182">
        <f>AB$9</f>
        <v>0</v>
      </c>
      <c r="AC306" s="183">
        <f t="shared" ref="AC306:AC321" si="19">SUM(AA306*AB306)</f>
        <v>0</v>
      </c>
    </row>
    <row r="307" spans="1:30" ht="13.5">
      <c r="A307" s="28" t="str">
        <f>配置表!L306</f>
        <v/>
      </c>
      <c r="B307" s="9">
        <f>配置表!M306</f>
        <v>46025</v>
      </c>
      <c r="C307" s="10" t="str">
        <f>配置表!N306</f>
        <v>土</v>
      </c>
      <c r="D307" s="63" t="str">
        <f>配置表!O306</f>
        <v>冬　特別展</v>
      </c>
      <c r="E307" s="63" t="str">
        <f>配置表!P306</f>
        <v>テーマ展</v>
      </c>
      <c r="F307" s="45" t="str">
        <f>配置表!Q306</f>
        <v>○</v>
      </c>
      <c r="G307" s="45">
        <f>配置表!R306</f>
        <v>0</v>
      </c>
      <c r="H307" s="33" t="str">
        <f>配置表!S306</f>
        <v/>
      </c>
      <c r="I307" s="10">
        <f>配置表!T306</f>
        <v>0</v>
      </c>
      <c r="J307" s="10" t="str">
        <f>配置表!U306</f>
        <v>●</v>
      </c>
      <c r="K307" s="32">
        <f>配置表!V306</f>
        <v>0</v>
      </c>
      <c r="L307" s="33" t="str">
        <f>配置表!W306</f>
        <v>◎</v>
      </c>
      <c r="M307" s="32">
        <f>配置表!X306</f>
        <v>0</v>
      </c>
      <c r="N307" s="33" t="str">
        <f>配置表!Y306</f>
        <v>○</v>
      </c>
      <c r="O307" s="32">
        <f>配置表!Z306</f>
        <v>5</v>
      </c>
      <c r="P307" s="33" t="str">
        <f>配置表!AA306</f>
        <v>○</v>
      </c>
      <c r="Q307" s="227">
        <f>配置表!AB306</f>
        <v>0.41666666666666669</v>
      </c>
      <c r="R307" s="227">
        <f>配置表!AC306</f>
        <v>0.70833333333333337</v>
      </c>
      <c r="S307" s="238" t="str">
        <f>配置表!AD306</f>
        <v/>
      </c>
      <c r="T307" s="63"/>
      <c r="U307" s="152" t="s">
        <v>89</v>
      </c>
      <c r="V307" s="155" t="s">
        <v>66</v>
      </c>
      <c r="W307" s="155" t="s">
        <v>141</v>
      </c>
      <c r="X307" s="191">
        <v>5.25</v>
      </c>
      <c r="Y307" s="158">
        <v>1</v>
      </c>
      <c r="Z307" s="182">
        <f>COUNTIF(H305:H335,V307)</f>
        <v>0</v>
      </c>
      <c r="AA307" s="154">
        <f t="shared" si="18"/>
        <v>0</v>
      </c>
      <c r="AB307" s="182">
        <f>AB$10</f>
        <v>0</v>
      </c>
      <c r="AC307" s="183">
        <f t="shared" si="19"/>
        <v>0</v>
      </c>
    </row>
    <row r="308" spans="1:30" ht="13.5">
      <c r="A308" s="28" t="str">
        <f>配置表!L307</f>
        <v/>
      </c>
      <c r="B308" s="9">
        <f>配置表!M307</f>
        <v>46026</v>
      </c>
      <c r="C308" s="10" t="str">
        <f>配置表!N307</f>
        <v>日</v>
      </c>
      <c r="D308" s="63" t="str">
        <f>配置表!O307</f>
        <v>冬　特別展</v>
      </c>
      <c r="E308" s="63" t="str">
        <f>配置表!P307</f>
        <v>テーマ展</v>
      </c>
      <c r="F308" s="45" t="str">
        <f>配置表!Q307</f>
        <v>○</v>
      </c>
      <c r="G308" s="45">
        <f>配置表!R307</f>
        <v>0</v>
      </c>
      <c r="H308" s="33" t="str">
        <f>配置表!S307</f>
        <v/>
      </c>
      <c r="I308" s="10">
        <f>配置表!T307</f>
        <v>0</v>
      </c>
      <c r="J308" s="10" t="str">
        <f>配置表!U307</f>
        <v>●</v>
      </c>
      <c r="K308" s="32">
        <f>配置表!V307</f>
        <v>0</v>
      </c>
      <c r="L308" s="33" t="str">
        <f>配置表!W307</f>
        <v>◎</v>
      </c>
      <c r="M308" s="32">
        <f>配置表!X307</f>
        <v>0</v>
      </c>
      <c r="N308" s="33" t="str">
        <f>配置表!Y307</f>
        <v>○</v>
      </c>
      <c r="O308" s="32">
        <f>配置表!Z307</f>
        <v>5</v>
      </c>
      <c r="P308" s="33" t="str">
        <f>配置表!AA307</f>
        <v>○</v>
      </c>
      <c r="Q308" s="227">
        <f>配置表!AB307</f>
        <v>0.41666666666666669</v>
      </c>
      <c r="R308" s="227">
        <f>配置表!AC307</f>
        <v>0.70833333333333337</v>
      </c>
      <c r="S308" s="238" t="str">
        <f>配置表!AD307</f>
        <v/>
      </c>
      <c r="T308" s="63"/>
      <c r="U308" s="152"/>
      <c r="V308" s="155"/>
      <c r="W308" s="155"/>
      <c r="X308" s="153"/>
      <c r="Y308" s="158"/>
      <c r="Z308" s="182">
        <f>COUNTIF(H305:H335,V308)</f>
        <v>0</v>
      </c>
      <c r="AA308" s="154">
        <f t="shared" si="18"/>
        <v>0</v>
      </c>
      <c r="AB308" s="182"/>
      <c r="AC308" s="183">
        <f t="shared" si="19"/>
        <v>0</v>
      </c>
    </row>
    <row r="309" spans="1:30" ht="13.5">
      <c r="A309" s="28" t="str">
        <f>配置表!L308</f>
        <v>閉</v>
      </c>
      <c r="B309" s="9">
        <f>配置表!M308</f>
        <v>46027</v>
      </c>
      <c r="C309" s="10" t="str">
        <f>配置表!N308</f>
        <v>月</v>
      </c>
      <c r="D309" s="63" t="str">
        <f>配置表!O308</f>
        <v>冬　特別展</v>
      </c>
      <c r="E309" s="63" t="str">
        <f>配置表!P308</f>
        <v>テーマ展</v>
      </c>
      <c r="F309" s="44" t="str">
        <f>配置表!Q308</f>
        <v>休</v>
      </c>
      <c r="G309" s="32">
        <f>配置表!R308</f>
        <v>0</v>
      </c>
      <c r="H309" s="33" t="str">
        <f>配置表!S308</f>
        <v>休</v>
      </c>
      <c r="I309" s="32">
        <f>配置表!T308</f>
        <v>0</v>
      </c>
      <c r="J309" s="33" t="str">
        <f>配置表!U308</f>
        <v>休</v>
      </c>
      <c r="K309" s="32">
        <f>配置表!V308</f>
        <v>0</v>
      </c>
      <c r="L309" s="33" t="str">
        <f>配置表!W308</f>
        <v>休</v>
      </c>
      <c r="M309" s="32">
        <f>配置表!X308</f>
        <v>0</v>
      </c>
      <c r="N309" s="33" t="str">
        <f>配置表!Y308</f>
        <v>休</v>
      </c>
      <c r="O309" s="32" t="str">
        <f>配置表!Z308</f>
        <v/>
      </c>
      <c r="P309" s="33" t="str">
        <f>配置表!AA308</f>
        <v>休</v>
      </c>
      <c r="Q309" s="227" t="str">
        <f>配置表!AB308</f>
        <v/>
      </c>
      <c r="R309" s="227" t="str">
        <f>配置表!AC308</f>
        <v/>
      </c>
      <c r="S309" s="238" t="str">
        <f>配置表!AD308</f>
        <v/>
      </c>
      <c r="T309" s="63"/>
      <c r="U309" s="152"/>
      <c r="V309" s="155"/>
      <c r="W309" s="155"/>
      <c r="X309" s="153"/>
      <c r="Y309" s="158"/>
      <c r="Z309" s="182">
        <f>COUNTIF(H305:H335,V309)</f>
        <v>0</v>
      </c>
      <c r="AA309" s="154">
        <f t="shared" si="18"/>
        <v>0</v>
      </c>
      <c r="AB309" s="182"/>
      <c r="AC309" s="183">
        <f t="shared" si="19"/>
        <v>0</v>
      </c>
    </row>
    <row r="310" spans="1:30" ht="13.5">
      <c r="A310" s="28" t="str">
        <f>配置表!L309</f>
        <v/>
      </c>
      <c r="B310" s="9">
        <f>配置表!M309</f>
        <v>46028</v>
      </c>
      <c r="C310" s="10" t="str">
        <f>配置表!N309</f>
        <v>火</v>
      </c>
      <c r="D310" s="63" t="str">
        <f>配置表!O309</f>
        <v>冬　特別展</v>
      </c>
      <c r="E310" s="63" t="str">
        <f>配置表!P309</f>
        <v>テーマ展</v>
      </c>
      <c r="F310" s="45" t="str">
        <f>配置表!Q309</f>
        <v>○</v>
      </c>
      <c r="G310" s="45">
        <f>配置表!R309</f>
        <v>0</v>
      </c>
      <c r="H310" s="33" t="str">
        <f>配置表!S309</f>
        <v/>
      </c>
      <c r="I310" s="10">
        <f>配置表!T309</f>
        <v>0</v>
      </c>
      <c r="J310" s="10" t="str">
        <f>配置表!U309</f>
        <v>●</v>
      </c>
      <c r="K310" s="32">
        <f>配置表!V309</f>
        <v>0</v>
      </c>
      <c r="L310" s="33" t="str">
        <f>配置表!W309</f>
        <v/>
      </c>
      <c r="M310" s="32">
        <f>配置表!X309</f>
        <v>0</v>
      </c>
      <c r="N310" s="33" t="str">
        <f>配置表!Y309</f>
        <v>○</v>
      </c>
      <c r="O310" s="32">
        <f>配置表!Z309</f>
        <v>5</v>
      </c>
      <c r="P310" s="33" t="str">
        <f>配置表!AA309</f>
        <v>○</v>
      </c>
      <c r="Q310" s="227">
        <f>配置表!AB309</f>
        <v>0.41666666666666669</v>
      </c>
      <c r="R310" s="227">
        <f>配置表!AC309</f>
        <v>0.70833333333333337</v>
      </c>
      <c r="S310" s="238" t="str">
        <f>配置表!AD309</f>
        <v/>
      </c>
      <c r="T310" s="63"/>
      <c r="U310" s="152" t="s">
        <v>90</v>
      </c>
      <c r="V310" s="155" t="s">
        <v>46</v>
      </c>
      <c r="W310" s="155" t="s">
        <v>142</v>
      </c>
      <c r="X310" s="191">
        <v>6.75</v>
      </c>
      <c r="Y310" s="158">
        <v>1</v>
      </c>
      <c r="Z310" s="182">
        <f>COUNTIF(J305:J335,V310)</f>
        <v>26</v>
      </c>
      <c r="AA310" s="154">
        <f t="shared" si="18"/>
        <v>175.5</v>
      </c>
      <c r="AB310" s="182">
        <f>AB$13</f>
        <v>0</v>
      </c>
      <c r="AC310" s="183">
        <f t="shared" si="19"/>
        <v>0</v>
      </c>
    </row>
    <row r="311" spans="1:30" ht="13.5">
      <c r="A311" s="28" t="str">
        <f>配置表!L310</f>
        <v/>
      </c>
      <c r="B311" s="9">
        <f>配置表!M310</f>
        <v>46029</v>
      </c>
      <c r="C311" s="10" t="str">
        <f>配置表!N310</f>
        <v>水</v>
      </c>
      <c r="D311" s="63" t="str">
        <f>配置表!O310</f>
        <v>冬　特別展</v>
      </c>
      <c r="E311" s="63" t="str">
        <f>配置表!P310</f>
        <v>テーマ展</v>
      </c>
      <c r="F311" s="45" t="str">
        <f>配置表!Q310</f>
        <v>○</v>
      </c>
      <c r="G311" s="45">
        <f>配置表!R310</f>
        <v>0</v>
      </c>
      <c r="H311" s="33" t="str">
        <f>配置表!S310</f>
        <v/>
      </c>
      <c r="I311" s="10">
        <f>配置表!T310</f>
        <v>0</v>
      </c>
      <c r="J311" s="10" t="str">
        <f>配置表!U310</f>
        <v>●</v>
      </c>
      <c r="K311" s="32">
        <f>配置表!V310</f>
        <v>0</v>
      </c>
      <c r="L311" s="33" t="str">
        <f>配置表!W310</f>
        <v/>
      </c>
      <c r="M311" s="32">
        <f>配置表!X310</f>
        <v>0</v>
      </c>
      <c r="N311" s="33" t="str">
        <f>配置表!Y310</f>
        <v>○</v>
      </c>
      <c r="O311" s="32">
        <f>配置表!Z310</f>
        <v>5</v>
      </c>
      <c r="P311" s="33" t="str">
        <f>配置表!AA310</f>
        <v>○</v>
      </c>
      <c r="Q311" s="227">
        <f>配置表!AB310</f>
        <v>0.41666666666666669</v>
      </c>
      <c r="R311" s="227">
        <f>配置表!AC310</f>
        <v>0.70833333333333337</v>
      </c>
      <c r="S311" s="238" t="str">
        <f>配置表!AD310</f>
        <v/>
      </c>
      <c r="T311" s="63"/>
      <c r="U311" s="152"/>
      <c r="V311" s="155"/>
      <c r="W311" s="155"/>
      <c r="X311" s="153"/>
      <c r="Y311" s="158"/>
      <c r="Z311" s="182">
        <f>COUNTIF(J305:J335,V311)</f>
        <v>0</v>
      </c>
      <c r="AA311" s="154">
        <f t="shared" si="18"/>
        <v>0</v>
      </c>
      <c r="AB311" s="182"/>
      <c r="AC311" s="183">
        <f t="shared" si="19"/>
        <v>0</v>
      </c>
    </row>
    <row r="312" spans="1:30" ht="13.5">
      <c r="A312" s="28" t="str">
        <f>配置表!L311</f>
        <v/>
      </c>
      <c r="B312" s="9">
        <f>配置表!M311</f>
        <v>46030</v>
      </c>
      <c r="C312" s="10" t="str">
        <f>配置表!N311</f>
        <v>木</v>
      </c>
      <c r="D312" s="63" t="str">
        <f>配置表!O311</f>
        <v>冬　特別展</v>
      </c>
      <c r="E312" s="63" t="str">
        <f>配置表!P311</f>
        <v>テーマ展</v>
      </c>
      <c r="F312" s="45" t="str">
        <f>配置表!Q311</f>
        <v>○</v>
      </c>
      <c r="G312" s="45">
        <f>配置表!R311</f>
        <v>0</v>
      </c>
      <c r="H312" s="33" t="str">
        <f>配置表!S311</f>
        <v/>
      </c>
      <c r="I312" s="10">
        <f>配置表!T311</f>
        <v>0</v>
      </c>
      <c r="J312" s="10" t="str">
        <f>配置表!U311</f>
        <v>●</v>
      </c>
      <c r="K312" s="32">
        <f>配置表!V311</f>
        <v>0</v>
      </c>
      <c r="L312" s="33" t="str">
        <f>配置表!W311</f>
        <v/>
      </c>
      <c r="M312" s="32">
        <f>配置表!X311</f>
        <v>0</v>
      </c>
      <c r="N312" s="33" t="str">
        <f>配置表!Y311</f>
        <v>○</v>
      </c>
      <c r="O312" s="32">
        <f>配置表!Z311</f>
        <v>5</v>
      </c>
      <c r="P312" s="33" t="str">
        <f>配置表!AA311</f>
        <v>○</v>
      </c>
      <c r="Q312" s="227">
        <f>配置表!AB311</f>
        <v>0.41666666666666669</v>
      </c>
      <c r="R312" s="227">
        <f>配置表!AC311</f>
        <v>0.70833333333333337</v>
      </c>
      <c r="S312" s="238" t="str">
        <f>配置表!AD311</f>
        <v/>
      </c>
      <c r="T312" s="63"/>
      <c r="U312" s="152" t="s">
        <v>91</v>
      </c>
      <c r="V312" s="155" t="s">
        <v>66</v>
      </c>
      <c r="W312" s="155" t="s">
        <v>141</v>
      </c>
      <c r="X312" s="191">
        <v>5.25</v>
      </c>
      <c r="Y312" s="158">
        <v>1</v>
      </c>
      <c r="Z312" s="186">
        <f>COUNTIF(L305:L335,V312)</f>
        <v>0</v>
      </c>
      <c r="AA312" s="154">
        <f t="shared" si="18"/>
        <v>0</v>
      </c>
      <c r="AB312" s="182">
        <f>AB$15</f>
        <v>0</v>
      </c>
      <c r="AC312" s="183">
        <f t="shared" si="19"/>
        <v>0</v>
      </c>
    </row>
    <row r="313" spans="1:30" ht="13.5">
      <c r="A313" s="28" t="str">
        <f>配置表!L312</f>
        <v/>
      </c>
      <c r="B313" s="9">
        <f>配置表!M312</f>
        <v>46031</v>
      </c>
      <c r="C313" s="10" t="str">
        <f>配置表!N312</f>
        <v>金</v>
      </c>
      <c r="D313" s="63" t="str">
        <f>配置表!O312</f>
        <v>冬　特別展</v>
      </c>
      <c r="E313" s="63" t="str">
        <f>配置表!P312</f>
        <v>テーマ展</v>
      </c>
      <c r="F313" s="45" t="str">
        <f>配置表!Q312</f>
        <v>○</v>
      </c>
      <c r="G313" s="45">
        <f>配置表!R312</f>
        <v>0</v>
      </c>
      <c r="H313" s="33" t="str">
        <f>配置表!S312</f>
        <v/>
      </c>
      <c r="I313" s="10">
        <f>配置表!T312</f>
        <v>0</v>
      </c>
      <c r="J313" s="10" t="str">
        <f>配置表!U312</f>
        <v>●</v>
      </c>
      <c r="K313" s="32">
        <f>配置表!V312</f>
        <v>0</v>
      </c>
      <c r="L313" s="33" t="str">
        <f>配置表!W312</f>
        <v/>
      </c>
      <c r="M313" s="32">
        <f>配置表!X312</f>
        <v>0</v>
      </c>
      <c r="N313" s="33" t="str">
        <f>配置表!Y312</f>
        <v>○</v>
      </c>
      <c r="O313" s="32">
        <f>配置表!Z312</f>
        <v>5</v>
      </c>
      <c r="P313" s="33" t="str">
        <f>配置表!AA312</f>
        <v>○</v>
      </c>
      <c r="Q313" s="227">
        <f>配置表!AB312</f>
        <v>0.41666666666666669</v>
      </c>
      <c r="R313" s="227">
        <f>配置表!AC312</f>
        <v>0.70833333333333337</v>
      </c>
      <c r="S313" s="238" t="str">
        <f>配置表!AD312</f>
        <v/>
      </c>
      <c r="T313" s="63"/>
      <c r="U313" s="152" t="s">
        <v>18</v>
      </c>
      <c r="V313" s="155" t="s">
        <v>15</v>
      </c>
      <c r="W313" s="155" t="s">
        <v>153</v>
      </c>
      <c r="X313" s="153">
        <v>5</v>
      </c>
      <c r="Y313" s="158">
        <v>1</v>
      </c>
      <c r="Z313" s="186">
        <f>COUNTIF(L305:L335,V313)</f>
        <v>10</v>
      </c>
      <c r="AA313" s="154">
        <f t="shared" si="18"/>
        <v>50</v>
      </c>
      <c r="AB313" s="182">
        <f>AB$16</f>
        <v>0</v>
      </c>
      <c r="AC313" s="183">
        <f t="shared" si="19"/>
        <v>0</v>
      </c>
    </row>
    <row r="314" spans="1:30" ht="13.5">
      <c r="A314" s="28" t="str">
        <f>配置表!L313</f>
        <v/>
      </c>
      <c r="B314" s="9">
        <f>配置表!M313</f>
        <v>46032</v>
      </c>
      <c r="C314" s="10" t="str">
        <f>配置表!N313</f>
        <v>土</v>
      </c>
      <c r="D314" s="63" t="str">
        <f>配置表!O313</f>
        <v>冬　特別展</v>
      </c>
      <c r="E314" s="63" t="str">
        <f>配置表!P313</f>
        <v>テーマ展</v>
      </c>
      <c r="F314" s="45" t="str">
        <f>配置表!Q313</f>
        <v>○</v>
      </c>
      <c r="G314" s="45">
        <f>配置表!R313</f>
        <v>0</v>
      </c>
      <c r="H314" s="33" t="str">
        <f>配置表!S313</f>
        <v/>
      </c>
      <c r="I314" s="10">
        <f>配置表!T313</f>
        <v>0</v>
      </c>
      <c r="J314" s="10" t="str">
        <f>配置表!U313</f>
        <v>●</v>
      </c>
      <c r="K314" s="32">
        <f>配置表!V313</f>
        <v>0</v>
      </c>
      <c r="L314" s="33" t="str">
        <f>配置表!W313</f>
        <v>◎</v>
      </c>
      <c r="M314" s="32">
        <f>配置表!X313</f>
        <v>0</v>
      </c>
      <c r="N314" s="33" t="str">
        <f>配置表!Y313</f>
        <v>○</v>
      </c>
      <c r="O314" s="32">
        <f>配置表!Z313</f>
        <v>5</v>
      </c>
      <c r="P314" s="33" t="str">
        <f>配置表!AA313</f>
        <v>○</v>
      </c>
      <c r="Q314" s="227">
        <f>配置表!AB313</f>
        <v>0.41666666666666669</v>
      </c>
      <c r="R314" s="227">
        <f>配置表!AC313</f>
        <v>0.70833333333333337</v>
      </c>
      <c r="S314" s="238" t="str">
        <f>配置表!AD313</f>
        <v/>
      </c>
      <c r="T314" s="63"/>
      <c r="U314" s="152"/>
      <c r="V314" s="155"/>
      <c r="W314" s="155"/>
      <c r="X314" s="153"/>
      <c r="Y314" s="158"/>
      <c r="Z314" s="186">
        <f>COUNTIF(N305:N335,V314)</f>
        <v>0</v>
      </c>
      <c r="AA314" s="154">
        <f t="shared" si="18"/>
        <v>0</v>
      </c>
      <c r="AB314" s="182"/>
      <c r="AC314" s="183">
        <f t="shared" si="19"/>
        <v>0</v>
      </c>
    </row>
    <row r="315" spans="1:30" ht="13.5">
      <c r="A315" s="28" t="str">
        <f>配置表!L314</f>
        <v/>
      </c>
      <c r="B315" s="9">
        <f>配置表!M314</f>
        <v>46033</v>
      </c>
      <c r="C315" s="10" t="str">
        <f>配置表!N314</f>
        <v>日</v>
      </c>
      <c r="D315" s="63" t="str">
        <f>配置表!O314</f>
        <v>冬　特別展</v>
      </c>
      <c r="E315" s="63" t="str">
        <f>配置表!P314</f>
        <v>テーマ展</v>
      </c>
      <c r="F315" s="45" t="str">
        <f>配置表!Q314</f>
        <v>○</v>
      </c>
      <c r="G315" s="45">
        <f>配置表!R314</f>
        <v>0</v>
      </c>
      <c r="H315" s="33" t="str">
        <f>配置表!S314</f>
        <v/>
      </c>
      <c r="I315" s="10">
        <f>配置表!T314</f>
        <v>0</v>
      </c>
      <c r="J315" s="10" t="str">
        <f>配置表!U314</f>
        <v>●</v>
      </c>
      <c r="K315" s="32">
        <f>配置表!V314</f>
        <v>0</v>
      </c>
      <c r="L315" s="33" t="str">
        <f>配置表!W314</f>
        <v>◎</v>
      </c>
      <c r="M315" s="32">
        <f>配置表!X314</f>
        <v>0</v>
      </c>
      <c r="N315" s="33" t="str">
        <f>配置表!Y314</f>
        <v>○</v>
      </c>
      <c r="O315" s="32">
        <f>配置表!Z314</f>
        <v>5</v>
      </c>
      <c r="P315" s="33" t="str">
        <f>配置表!AA314</f>
        <v>○</v>
      </c>
      <c r="Q315" s="227">
        <f>配置表!AB314</f>
        <v>0.41666666666666669</v>
      </c>
      <c r="R315" s="227">
        <f>配置表!AC314</f>
        <v>0.70833333333333337</v>
      </c>
      <c r="S315" s="238" t="str">
        <f>配置表!AD314</f>
        <v/>
      </c>
      <c r="T315" s="63"/>
      <c r="U315" s="152"/>
      <c r="V315" s="155"/>
      <c r="W315" s="274"/>
      <c r="X315" s="275"/>
      <c r="Y315" s="158"/>
      <c r="Z315" s="186">
        <f>COUNTIF(N305:N335,V315)</f>
        <v>0</v>
      </c>
      <c r="AA315" s="154">
        <f t="shared" si="18"/>
        <v>0</v>
      </c>
      <c r="AB315" s="182"/>
      <c r="AC315" s="183">
        <f t="shared" si="19"/>
        <v>0</v>
      </c>
    </row>
    <row r="316" spans="1:30" ht="13.5">
      <c r="A316" s="28" t="str">
        <f>配置表!L315</f>
        <v/>
      </c>
      <c r="B316" s="9">
        <f>配置表!M315</f>
        <v>46034</v>
      </c>
      <c r="C316" s="10" t="str">
        <f>配置表!N315</f>
        <v>月</v>
      </c>
      <c r="D316" s="63" t="str">
        <f>配置表!O315</f>
        <v>冬　特別展</v>
      </c>
      <c r="E316" s="63" t="str">
        <f>配置表!P315</f>
        <v>テーマ展</v>
      </c>
      <c r="F316" s="45" t="str">
        <f>配置表!Q315</f>
        <v>○</v>
      </c>
      <c r="G316" s="45">
        <f>配置表!R315</f>
        <v>0</v>
      </c>
      <c r="H316" s="33" t="str">
        <f>配置表!S315</f>
        <v/>
      </c>
      <c r="I316" s="10">
        <f>配置表!T315</f>
        <v>0</v>
      </c>
      <c r="J316" s="10" t="str">
        <f>配置表!U315</f>
        <v>●</v>
      </c>
      <c r="K316" s="32">
        <f>配置表!V315</f>
        <v>0</v>
      </c>
      <c r="L316" s="33" t="str">
        <f>配置表!W315</f>
        <v>◎</v>
      </c>
      <c r="M316" s="32">
        <f>配置表!X315</f>
        <v>0</v>
      </c>
      <c r="N316" s="33" t="str">
        <f>配置表!Y315</f>
        <v>○</v>
      </c>
      <c r="O316" s="32">
        <f>配置表!Z315</f>
        <v>5</v>
      </c>
      <c r="P316" s="33" t="str">
        <f>配置表!AA315</f>
        <v>○</v>
      </c>
      <c r="Q316" s="227">
        <f>配置表!AB315</f>
        <v>0.41666666666666669</v>
      </c>
      <c r="R316" s="227">
        <f>配置表!AC315</f>
        <v>0.70833333333333337</v>
      </c>
      <c r="S316" s="238" t="str">
        <f>配置表!AD315</f>
        <v>成人の日</v>
      </c>
      <c r="T316" s="63"/>
      <c r="U316" s="152" t="s">
        <v>19</v>
      </c>
      <c r="V316" s="155" t="s">
        <v>66</v>
      </c>
      <c r="W316" s="274" t="s">
        <v>127</v>
      </c>
      <c r="X316" s="275">
        <v>7.5</v>
      </c>
      <c r="Y316" s="158">
        <v>1</v>
      </c>
      <c r="Z316" s="186">
        <f>COUNTIF(N305:N335,V316)</f>
        <v>26</v>
      </c>
      <c r="AA316" s="154">
        <f t="shared" si="18"/>
        <v>195</v>
      </c>
      <c r="AB316" s="182">
        <f>AB$19</f>
        <v>0</v>
      </c>
      <c r="AC316" s="183">
        <f t="shared" si="19"/>
        <v>0</v>
      </c>
    </row>
    <row r="317" spans="1:30" ht="13.5">
      <c r="A317" s="28" t="str">
        <f>配置表!L316</f>
        <v>閉</v>
      </c>
      <c r="B317" s="9">
        <f>配置表!M316</f>
        <v>46035</v>
      </c>
      <c r="C317" s="10" t="str">
        <f>配置表!N316</f>
        <v>火</v>
      </c>
      <c r="D317" s="63" t="str">
        <f>配置表!O316</f>
        <v>冬　特別展</v>
      </c>
      <c r="E317" s="63" t="str">
        <f>配置表!P316</f>
        <v>テーマ展</v>
      </c>
      <c r="F317" s="44" t="str">
        <f>配置表!Q316</f>
        <v>休</v>
      </c>
      <c r="G317" s="32">
        <f>配置表!R316</f>
        <v>0</v>
      </c>
      <c r="H317" s="33" t="str">
        <f>配置表!S316</f>
        <v>休</v>
      </c>
      <c r="I317" s="32">
        <f>配置表!T316</f>
        <v>0</v>
      </c>
      <c r="J317" s="33" t="str">
        <f>配置表!U316</f>
        <v>休</v>
      </c>
      <c r="K317" s="32">
        <f>配置表!V316</f>
        <v>0</v>
      </c>
      <c r="L317" s="33" t="str">
        <f>配置表!W316</f>
        <v>休</v>
      </c>
      <c r="M317" s="32">
        <f>配置表!X316</f>
        <v>0</v>
      </c>
      <c r="N317" s="33" t="str">
        <f>配置表!Y316</f>
        <v>休</v>
      </c>
      <c r="O317" s="32" t="str">
        <f>配置表!Z316</f>
        <v/>
      </c>
      <c r="P317" s="33" t="str">
        <f>配置表!AA316</f>
        <v>休</v>
      </c>
      <c r="Q317" s="227" t="str">
        <f>配置表!AB316</f>
        <v/>
      </c>
      <c r="R317" s="227" t="str">
        <f>配置表!AC316</f>
        <v/>
      </c>
      <c r="S317" s="238" t="str">
        <f>配置表!AD316</f>
        <v/>
      </c>
      <c r="T317" s="63"/>
      <c r="U317" s="152"/>
      <c r="V317" s="155"/>
      <c r="W317" s="155"/>
      <c r="X317" s="153"/>
      <c r="Y317" s="158"/>
      <c r="Z317" s="186">
        <f>COUNTIF(P305:P335,V317)</f>
        <v>0</v>
      </c>
      <c r="AA317" s="154">
        <f t="shared" si="18"/>
        <v>0</v>
      </c>
      <c r="AB317" s="182"/>
      <c r="AC317" s="183">
        <f t="shared" si="19"/>
        <v>0</v>
      </c>
    </row>
    <row r="318" spans="1:30" ht="13.5">
      <c r="A318" s="28" t="str">
        <f>配置表!L317</f>
        <v/>
      </c>
      <c r="B318" s="9">
        <f>配置表!M317</f>
        <v>46036</v>
      </c>
      <c r="C318" s="10" t="str">
        <f>配置表!N317</f>
        <v>水</v>
      </c>
      <c r="D318" s="63" t="str">
        <f>配置表!O317</f>
        <v>冬　特別展</v>
      </c>
      <c r="E318" s="63" t="str">
        <f>配置表!P317</f>
        <v>テーマ展</v>
      </c>
      <c r="F318" s="45" t="str">
        <f>配置表!Q317</f>
        <v>○</v>
      </c>
      <c r="G318" s="45">
        <f>配置表!R317</f>
        <v>0</v>
      </c>
      <c r="H318" s="33" t="str">
        <f>配置表!S317</f>
        <v/>
      </c>
      <c r="I318" s="10">
        <f>配置表!T317</f>
        <v>0</v>
      </c>
      <c r="J318" s="10" t="str">
        <f>配置表!U317</f>
        <v>●</v>
      </c>
      <c r="K318" s="32">
        <f>配置表!V317</f>
        <v>0</v>
      </c>
      <c r="L318" s="33" t="str">
        <f>配置表!W317</f>
        <v/>
      </c>
      <c r="M318" s="32">
        <f>配置表!X317</f>
        <v>0</v>
      </c>
      <c r="N318" s="33" t="str">
        <f>配置表!Y317</f>
        <v>○</v>
      </c>
      <c r="O318" s="32">
        <f>配置表!Z317</f>
        <v>5</v>
      </c>
      <c r="P318" s="33" t="str">
        <f>配置表!AA317</f>
        <v>○</v>
      </c>
      <c r="Q318" s="227">
        <f>配置表!AB317</f>
        <v>0.41666666666666669</v>
      </c>
      <c r="R318" s="227">
        <f>配置表!AC317</f>
        <v>0.70833333333333337</v>
      </c>
      <c r="S318" s="238" t="str">
        <f>配置表!AD317</f>
        <v/>
      </c>
      <c r="T318" s="63"/>
      <c r="U318" s="152"/>
      <c r="V318" s="155"/>
      <c r="W318" s="274"/>
      <c r="X318" s="275"/>
      <c r="Y318" s="158"/>
      <c r="Z318" s="182">
        <f>COUNTIF(P305:P335,V318)</f>
        <v>0</v>
      </c>
      <c r="AA318" s="154">
        <f t="shared" si="18"/>
        <v>0</v>
      </c>
      <c r="AB318" s="182"/>
      <c r="AC318" s="183">
        <f t="shared" si="19"/>
        <v>0</v>
      </c>
    </row>
    <row r="319" spans="1:30" ht="13.5">
      <c r="A319" s="28" t="str">
        <f>配置表!L318</f>
        <v/>
      </c>
      <c r="B319" s="9">
        <f>配置表!M318</f>
        <v>46037</v>
      </c>
      <c r="C319" s="10" t="str">
        <f>配置表!N318</f>
        <v>木</v>
      </c>
      <c r="D319" s="63" t="str">
        <f>配置表!O318</f>
        <v>冬　特別展</v>
      </c>
      <c r="E319" s="63" t="str">
        <f>配置表!P318</f>
        <v>テーマ展</v>
      </c>
      <c r="F319" s="45" t="str">
        <f>配置表!Q318</f>
        <v>○</v>
      </c>
      <c r="G319" s="45">
        <f>配置表!R318</f>
        <v>0</v>
      </c>
      <c r="H319" s="33" t="str">
        <f>配置表!S318</f>
        <v/>
      </c>
      <c r="I319" s="10">
        <f>配置表!T318</f>
        <v>0</v>
      </c>
      <c r="J319" s="10" t="str">
        <f>配置表!U318</f>
        <v>●</v>
      </c>
      <c r="K319" s="32">
        <f>配置表!V318</f>
        <v>0</v>
      </c>
      <c r="L319" s="33" t="str">
        <f>配置表!W318</f>
        <v/>
      </c>
      <c r="M319" s="32">
        <f>配置表!X318</f>
        <v>0</v>
      </c>
      <c r="N319" s="33" t="str">
        <f>配置表!Y318</f>
        <v>○</v>
      </c>
      <c r="O319" s="32">
        <f>配置表!Z318</f>
        <v>5</v>
      </c>
      <c r="P319" s="33" t="str">
        <f>配置表!AA318</f>
        <v>○</v>
      </c>
      <c r="Q319" s="227">
        <f>配置表!AB318</f>
        <v>0.41666666666666669</v>
      </c>
      <c r="R319" s="227">
        <f>配置表!AC318</f>
        <v>0.70833333333333337</v>
      </c>
      <c r="S319" s="238" t="str">
        <f>配置表!AD318</f>
        <v/>
      </c>
      <c r="T319" s="63"/>
      <c r="U319" s="152" t="s">
        <v>69</v>
      </c>
      <c r="V319" s="155" t="s">
        <v>66</v>
      </c>
      <c r="W319" s="274" t="s">
        <v>127</v>
      </c>
      <c r="X319" s="275">
        <v>7.5</v>
      </c>
      <c r="Y319" s="158">
        <v>5</v>
      </c>
      <c r="Z319" s="182">
        <f>COUNTIF(P305:P335,V319)</f>
        <v>26</v>
      </c>
      <c r="AA319" s="154">
        <f t="shared" si="18"/>
        <v>975</v>
      </c>
      <c r="AB319" s="182">
        <f>AB$22</f>
        <v>0</v>
      </c>
      <c r="AC319" s="183">
        <f t="shared" si="19"/>
        <v>0</v>
      </c>
    </row>
    <row r="320" spans="1:30" ht="13.5">
      <c r="A320" s="28" t="str">
        <f>配置表!L319</f>
        <v/>
      </c>
      <c r="B320" s="9">
        <f>配置表!M319</f>
        <v>46038</v>
      </c>
      <c r="C320" s="10" t="str">
        <f>配置表!N319</f>
        <v>金</v>
      </c>
      <c r="D320" s="63" t="str">
        <f>配置表!O319</f>
        <v>冬　特別展</v>
      </c>
      <c r="E320" s="63" t="str">
        <f>配置表!P319</f>
        <v>テーマ展</v>
      </c>
      <c r="F320" s="45" t="str">
        <f>配置表!Q319</f>
        <v>○</v>
      </c>
      <c r="G320" s="45">
        <f>配置表!R319</f>
        <v>0</v>
      </c>
      <c r="H320" s="33" t="str">
        <f>配置表!S319</f>
        <v/>
      </c>
      <c r="I320" s="10">
        <f>配置表!T319</f>
        <v>0</v>
      </c>
      <c r="J320" s="10" t="str">
        <f>配置表!U319</f>
        <v>●</v>
      </c>
      <c r="K320" s="32">
        <f>配置表!V319</f>
        <v>0</v>
      </c>
      <c r="L320" s="33" t="str">
        <f>配置表!W319</f>
        <v/>
      </c>
      <c r="M320" s="32">
        <f>配置表!X319</f>
        <v>0</v>
      </c>
      <c r="N320" s="33" t="str">
        <f>配置表!Y319</f>
        <v>○</v>
      </c>
      <c r="O320" s="32">
        <f>配置表!Z319</f>
        <v>5</v>
      </c>
      <c r="P320" s="33" t="str">
        <f>配置表!AA319</f>
        <v>○</v>
      </c>
      <c r="Q320" s="227">
        <f>配置表!AB319</f>
        <v>0.41666666666666669</v>
      </c>
      <c r="R320" s="227">
        <f>配置表!AC319</f>
        <v>0.70833333333333337</v>
      </c>
      <c r="S320" s="238" t="str">
        <f>配置表!AD319</f>
        <v/>
      </c>
      <c r="T320" s="63"/>
      <c r="U320" s="187" t="s">
        <v>69</v>
      </c>
      <c r="V320" s="155" t="s">
        <v>75</v>
      </c>
      <c r="W320" s="274" t="s">
        <v>127</v>
      </c>
      <c r="X320" s="275">
        <v>7.5</v>
      </c>
      <c r="Y320" s="158">
        <v>1</v>
      </c>
      <c r="Z320" s="186">
        <f>COUNTIF(P305:P335,V320)+Z321</f>
        <v>0</v>
      </c>
      <c r="AA320" s="154">
        <f t="shared" si="18"/>
        <v>0</v>
      </c>
      <c r="AB320" s="182">
        <f>AB$56</f>
        <v>0</v>
      </c>
      <c r="AC320" s="183">
        <f t="shared" si="19"/>
        <v>0</v>
      </c>
      <c r="AD320" s="1" t="s">
        <v>95</v>
      </c>
    </row>
    <row r="321" spans="1:29" ht="13.5">
      <c r="A321" s="28" t="str">
        <f>配置表!L320</f>
        <v/>
      </c>
      <c r="B321" s="9">
        <f>配置表!M320</f>
        <v>46039</v>
      </c>
      <c r="C321" s="10" t="str">
        <f>配置表!N320</f>
        <v>土</v>
      </c>
      <c r="D321" s="63" t="str">
        <f>配置表!O320</f>
        <v>冬　特別展</v>
      </c>
      <c r="E321" s="63" t="str">
        <f>配置表!P320</f>
        <v>テーマ展</v>
      </c>
      <c r="F321" s="45" t="str">
        <f>配置表!Q320</f>
        <v>○</v>
      </c>
      <c r="G321" s="45">
        <f>配置表!R320</f>
        <v>0</v>
      </c>
      <c r="H321" s="33" t="str">
        <f>配置表!S320</f>
        <v/>
      </c>
      <c r="I321" s="10">
        <f>配置表!T320</f>
        <v>0</v>
      </c>
      <c r="J321" s="10" t="str">
        <f>配置表!U320</f>
        <v>●</v>
      </c>
      <c r="K321" s="32">
        <f>配置表!V320</f>
        <v>0</v>
      </c>
      <c r="L321" s="33" t="str">
        <f>配置表!W320</f>
        <v>◎</v>
      </c>
      <c r="M321" s="32">
        <f>配置表!X320</f>
        <v>0</v>
      </c>
      <c r="N321" s="33" t="str">
        <f>配置表!Y320</f>
        <v>○</v>
      </c>
      <c r="O321" s="32">
        <f>配置表!Z320</f>
        <v>5</v>
      </c>
      <c r="P321" s="33" t="str">
        <f>配置表!AA320</f>
        <v>○</v>
      </c>
      <c r="Q321" s="227">
        <f>配置表!AB320</f>
        <v>0.41666666666666669</v>
      </c>
      <c r="R321" s="227">
        <f>配置表!AC320</f>
        <v>0.70833333333333337</v>
      </c>
      <c r="S321" s="238" t="str">
        <f>配置表!AD320</f>
        <v/>
      </c>
      <c r="T321" s="63"/>
      <c r="U321" s="152" t="s">
        <v>69</v>
      </c>
      <c r="V321" s="155" t="s">
        <v>93</v>
      </c>
      <c r="W321" s="155" t="s">
        <v>154</v>
      </c>
      <c r="X321" s="191">
        <v>2.75</v>
      </c>
      <c r="Y321" s="158">
        <v>4</v>
      </c>
      <c r="Z321" s="186">
        <f>COUNTIF(P305:P335,V321)</f>
        <v>0</v>
      </c>
      <c r="AA321" s="154">
        <f t="shared" si="18"/>
        <v>0</v>
      </c>
      <c r="AB321" s="182"/>
      <c r="AC321" s="183">
        <f t="shared" si="19"/>
        <v>0</v>
      </c>
    </row>
    <row r="322" spans="1:29" ht="13.5">
      <c r="A322" s="28" t="str">
        <f>配置表!L321</f>
        <v/>
      </c>
      <c r="B322" s="9">
        <f>配置表!M321</f>
        <v>46040</v>
      </c>
      <c r="C322" s="10" t="str">
        <f>配置表!N321</f>
        <v>日</v>
      </c>
      <c r="D322" s="63" t="str">
        <f>配置表!O321</f>
        <v>冬　特別展</v>
      </c>
      <c r="E322" s="63" t="str">
        <f>配置表!P321</f>
        <v>テーマ展</v>
      </c>
      <c r="F322" s="45" t="str">
        <f>配置表!Q321</f>
        <v>○</v>
      </c>
      <c r="G322" s="45">
        <f>配置表!R321</f>
        <v>0</v>
      </c>
      <c r="H322" s="33" t="str">
        <f>配置表!S321</f>
        <v/>
      </c>
      <c r="I322" s="10">
        <f>配置表!T321</f>
        <v>0</v>
      </c>
      <c r="J322" s="10" t="str">
        <f>配置表!U321</f>
        <v>●</v>
      </c>
      <c r="K322" s="32">
        <f>配置表!V321</f>
        <v>0</v>
      </c>
      <c r="L322" s="33" t="str">
        <f>配置表!W321</f>
        <v>◎</v>
      </c>
      <c r="M322" s="32">
        <f>配置表!X321</f>
        <v>0</v>
      </c>
      <c r="N322" s="33" t="str">
        <f>配置表!Y321</f>
        <v>○</v>
      </c>
      <c r="O322" s="32">
        <f>配置表!Z321</f>
        <v>5</v>
      </c>
      <c r="P322" s="33" t="str">
        <f>配置表!AA321</f>
        <v>○</v>
      </c>
      <c r="Q322" s="227">
        <f>配置表!AB321</f>
        <v>0.41666666666666669</v>
      </c>
      <c r="R322" s="227">
        <f>配置表!AC321</f>
        <v>0.70833333333333337</v>
      </c>
      <c r="S322" s="238" t="str">
        <f>配置表!AD321</f>
        <v/>
      </c>
      <c r="T322" s="63"/>
      <c r="U322" s="159" t="s">
        <v>64</v>
      </c>
      <c r="V322" s="160"/>
      <c r="W322" s="160"/>
      <c r="X322" s="188"/>
      <c r="Y322" s="188"/>
      <c r="Z322" s="189">
        <f>SUM(Z305:Z321)</f>
        <v>114</v>
      </c>
      <c r="AA322" s="190">
        <f>SUM(AA305:AA321)</f>
        <v>1616.5</v>
      </c>
      <c r="AB322" s="182"/>
      <c r="AC322" s="183">
        <f>SUM(AC305:AC321)</f>
        <v>0</v>
      </c>
    </row>
    <row r="323" spans="1:29" ht="14.25" thickBot="1">
      <c r="A323" s="28" t="str">
        <f>配置表!L322</f>
        <v>閉</v>
      </c>
      <c r="B323" s="9">
        <f>配置表!M322</f>
        <v>46041</v>
      </c>
      <c r="C323" s="10" t="str">
        <f>配置表!N322</f>
        <v>月</v>
      </c>
      <c r="D323" s="63" t="str">
        <f>配置表!O322</f>
        <v>冬　特別展</v>
      </c>
      <c r="E323" s="63" t="str">
        <f>配置表!P322</f>
        <v>テーマ展</v>
      </c>
      <c r="F323" s="44" t="str">
        <f>配置表!Q322</f>
        <v>休</v>
      </c>
      <c r="G323" s="32">
        <f>配置表!R322</f>
        <v>0</v>
      </c>
      <c r="H323" s="33" t="str">
        <f>配置表!S322</f>
        <v>休</v>
      </c>
      <c r="I323" s="32">
        <f>配置表!T322</f>
        <v>0</v>
      </c>
      <c r="J323" s="33" t="str">
        <f>配置表!U322</f>
        <v>休</v>
      </c>
      <c r="K323" s="32">
        <f>配置表!V322</f>
        <v>0</v>
      </c>
      <c r="L323" s="33" t="str">
        <f>配置表!W322</f>
        <v>休</v>
      </c>
      <c r="M323" s="32">
        <f>配置表!X322</f>
        <v>0</v>
      </c>
      <c r="N323" s="33" t="str">
        <f>配置表!Y322</f>
        <v>休</v>
      </c>
      <c r="O323" s="32" t="str">
        <f>配置表!Z322</f>
        <v/>
      </c>
      <c r="P323" s="33" t="str">
        <f>配置表!AA322</f>
        <v>休</v>
      </c>
      <c r="Q323" s="227" t="str">
        <f>配置表!AB322</f>
        <v/>
      </c>
      <c r="R323" s="227" t="str">
        <f>配置表!AC322</f>
        <v/>
      </c>
      <c r="S323" s="238" t="str">
        <f>配置表!AD322</f>
        <v/>
      </c>
      <c r="T323" s="63"/>
      <c r="U323" s="178" t="s">
        <v>65</v>
      </c>
      <c r="V323" s="179"/>
      <c r="W323" s="179"/>
      <c r="X323" s="180"/>
      <c r="Y323" s="180"/>
      <c r="Z323" s="180"/>
      <c r="AA323" s="170"/>
      <c r="AB323" s="184"/>
      <c r="AC323" s="185">
        <f>ROUNDDOWN(AC322*1.1,0)</f>
        <v>0</v>
      </c>
    </row>
    <row r="324" spans="1:29">
      <c r="A324" s="28" t="str">
        <f>配置表!L323</f>
        <v/>
      </c>
      <c r="B324" s="9">
        <f>配置表!M323</f>
        <v>46042</v>
      </c>
      <c r="C324" s="10" t="str">
        <f>配置表!N323</f>
        <v>火</v>
      </c>
      <c r="D324" s="63" t="str">
        <f>配置表!O323</f>
        <v>冬　特別展</v>
      </c>
      <c r="E324" s="63" t="str">
        <f>配置表!P323</f>
        <v>テーマ展</v>
      </c>
      <c r="F324" s="45" t="str">
        <f>配置表!Q323</f>
        <v>○</v>
      </c>
      <c r="G324" s="45">
        <f>配置表!R323</f>
        <v>0</v>
      </c>
      <c r="H324" s="33" t="str">
        <f>配置表!S323</f>
        <v/>
      </c>
      <c r="I324" s="10">
        <f>配置表!T323</f>
        <v>0</v>
      </c>
      <c r="J324" s="10" t="str">
        <f>配置表!U323</f>
        <v>●</v>
      </c>
      <c r="K324" s="32">
        <f>配置表!V323</f>
        <v>0</v>
      </c>
      <c r="L324" s="33" t="str">
        <f>配置表!W323</f>
        <v/>
      </c>
      <c r="M324" s="32">
        <f>配置表!X323</f>
        <v>0</v>
      </c>
      <c r="N324" s="33" t="str">
        <f>配置表!Y323</f>
        <v>○</v>
      </c>
      <c r="O324" s="32">
        <f>配置表!Z323</f>
        <v>5</v>
      </c>
      <c r="P324" s="33" t="str">
        <f>配置表!AA323</f>
        <v>○</v>
      </c>
      <c r="Q324" s="227">
        <f>配置表!AB323</f>
        <v>0.41666666666666669</v>
      </c>
      <c r="R324" s="227">
        <f>配置表!AC323</f>
        <v>0.70833333333333337</v>
      </c>
      <c r="S324" s="238" t="str">
        <f>配置表!AD323</f>
        <v/>
      </c>
      <c r="T324" s="63"/>
    </row>
    <row r="325" spans="1:29">
      <c r="A325" s="28" t="str">
        <f>配置表!L324</f>
        <v/>
      </c>
      <c r="B325" s="9">
        <f>配置表!M324</f>
        <v>46043</v>
      </c>
      <c r="C325" s="10" t="str">
        <f>配置表!N324</f>
        <v>水</v>
      </c>
      <c r="D325" s="63" t="str">
        <f>配置表!O324</f>
        <v>冬　特別展</v>
      </c>
      <c r="E325" s="63" t="str">
        <f>配置表!P324</f>
        <v>テーマ展</v>
      </c>
      <c r="F325" s="45" t="str">
        <f>配置表!Q324</f>
        <v>○</v>
      </c>
      <c r="G325" s="45">
        <f>配置表!R324</f>
        <v>0</v>
      </c>
      <c r="H325" s="33" t="str">
        <f>配置表!S324</f>
        <v/>
      </c>
      <c r="I325" s="10">
        <f>配置表!T324</f>
        <v>0</v>
      </c>
      <c r="J325" s="10" t="str">
        <f>配置表!U324</f>
        <v>●</v>
      </c>
      <c r="K325" s="32">
        <f>配置表!V324</f>
        <v>0</v>
      </c>
      <c r="L325" s="33" t="str">
        <f>配置表!W324</f>
        <v/>
      </c>
      <c r="M325" s="32">
        <f>配置表!X324</f>
        <v>0</v>
      </c>
      <c r="N325" s="33" t="str">
        <f>配置表!Y324</f>
        <v>○</v>
      </c>
      <c r="O325" s="32">
        <f>配置表!Z324</f>
        <v>5</v>
      </c>
      <c r="P325" s="33" t="str">
        <f>配置表!AA324</f>
        <v>○</v>
      </c>
      <c r="Q325" s="227">
        <f>配置表!AB324</f>
        <v>0.41666666666666669</v>
      </c>
      <c r="R325" s="227">
        <f>配置表!AC324</f>
        <v>0.70833333333333337</v>
      </c>
      <c r="S325" s="238" t="str">
        <f>配置表!AD324</f>
        <v/>
      </c>
      <c r="T325" s="63"/>
    </row>
    <row r="326" spans="1:29">
      <c r="A326" s="28" t="str">
        <f>配置表!L325</f>
        <v/>
      </c>
      <c r="B326" s="9">
        <f>配置表!M325</f>
        <v>46044</v>
      </c>
      <c r="C326" s="10" t="str">
        <f>配置表!N325</f>
        <v>木</v>
      </c>
      <c r="D326" s="63" t="str">
        <f>配置表!O325</f>
        <v>冬　特別展</v>
      </c>
      <c r="E326" s="63" t="str">
        <f>配置表!P325</f>
        <v>テーマ展</v>
      </c>
      <c r="F326" s="45" t="str">
        <f>配置表!Q325</f>
        <v>○</v>
      </c>
      <c r="G326" s="45">
        <f>配置表!R325</f>
        <v>0</v>
      </c>
      <c r="H326" s="33" t="str">
        <f>配置表!S325</f>
        <v/>
      </c>
      <c r="I326" s="10">
        <f>配置表!T325</f>
        <v>0</v>
      </c>
      <c r="J326" s="10" t="str">
        <f>配置表!U325</f>
        <v>●</v>
      </c>
      <c r="K326" s="32">
        <f>配置表!V325</f>
        <v>0</v>
      </c>
      <c r="L326" s="33" t="str">
        <f>配置表!W325</f>
        <v/>
      </c>
      <c r="M326" s="32">
        <f>配置表!X325</f>
        <v>0</v>
      </c>
      <c r="N326" s="33" t="str">
        <f>配置表!Y325</f>
        <v>○</v>
      </c>
      <c r="O326" s="32">
        <f>配置表!Z325</f>
        <v>5</v>
      </c>
      <c r="P326" s="33" t="str">
        <f>配置表!AA325</f>
        <v>○</v>
      </c>
      <c r="Q326" s="227">
        <f>配置表!AB325</f>
        <v>0.41666666666666669</v>
      </c>
      <c r="R326" s="227">
        <f>配置表!AC325</f>
        <v>0.70833333333333337</v>
      </c>
      <c r="S326" s="238" t="str">
        <f>配置表!AD325</f>
        <v/>
      </c>
      <c r="T326" s="63"/>
    </row>
    <row r="327" spans="1:29">
      <c r="A327" s="28" t="str">
        <f>配置表!L326</f>
        <v/>
      </c>
      <c r="B327" s="9">
        <f>配置表!M326</f>
        <v>46045</v>
      </c>
      <c r="C327" s="10" t="str">
        <f>配置表!N326</f>
        <v>金</v>
      </c>
      <c r="D327" s="63" t="str">
        <f>配置表!O326</f>
        <v>冬　特別展</v>
      </c>
      <c r="E327" s="63" t="str">
        <f>配置表!P326</f>
        <v>テーマ展</v>
      </c>
      <c r="F327" s="45" t="str">
        <f>配置表!Q326</f>
        <v>○</v>
      </c>
      <c r="G327" s="45">
        <f>配置表!R326</f>
        <v>0</v>
      </c>
      <c r="H327" s="33" t="str">
        <f>配置表!S326</f>
        <v/>
      </c>
      <c r="I327" s="10">
        <f>配置表!T326</f>
        <v>0</v>
      </c>
      <c r="J327" s="10" t="str">
        <f>配置表!U326</f>
        <v>●</v>
      </c>
      <c r="K327" s="32">
        <f>配置表!V326</f>
        <v>0</v>
      </c>
      <c r="L327" s="33" t="str">
        <f>配置表!W326</f>
        <v/>
      </c>
      <c r="M327" s="32">
        <f>配置表!X326</f>
        <v>0</v>
      </c>
      <c r="N327" s="33" t="str">
        <f>配置表!Y326</f>
        <v>○</v>
      </c>
      <c r="O327" s="32">
        <f>配置表!Z326</f>
        <v>5</v>
      </c>
      <c r="P327" s="33" t="str">
        <f>配置表!AA326</f>
        <v>○</v>
      </c>
      <c r="Q327" s="227">
        <f>配置表!AB326</f>
        <v>0.41666666666666669</v>
      </c>
      <c r="R327" s="227">
        <f>配置表!AC326</f>
        <v>0.70833333333333337</v>
      </c>
      <c r="S327" s="238" t="str">
        <f>配置表!AD326</f>
        <v/>
      </c>
      <c r="T327" s="63"/>
    </row>
    <row r="328" spans="1:29">
      <c r="A328" s="28" t="str">
        <f>配置表!L327</f>
        <v/>
      </c>
      <c r="B328" s="9">
        <f>配置表!M327</f>
        <v>46046</v>
      </c>
      <c r="C328" s="10" t="str">
        <f>配置表!N327</f>
        <v>土</v>
      </c>
      <c r="D328" s="63" t="str">
        <f>配置表!O327</f>
        <v>冬　特別展</v>
      </c>
      <c r="E328" s="63" t="str">
        <f>配置表!P327</f>
        <v>テーマ展</v>
      </c>
      <c r="F328" s="45" t="str">
        <f>配置表!Q327</f>
        <v>○</v>
      </c>
      <c r="G328" s="45">
        <f>配置表!R327</f>
        <v>0</v>
      </c>
      <c r="H328" s="33" t="str">
        <f>配置表!S327</f>
        <v/>
      </c>
      <c r="I328" s="10">
        <f>配置表!T327</f>
        <v>0</v>
      </c>
      <c r="J328" s="10" t="str">
        <f>配置表!U327</f>
        <v>●</v>
      </c>
      <c r="K328" s="32">
        <f>配置表!V327</f>
        <v>0</v>
      </c>
      <c r="L328" s="33" t="str">
        <f>配置表!W327</f>
        <v>◎</v>
      </c>
      <c r="M328" s="32">
        <f>配置表!X327</f>
        <v>0</v>
      </c>
      <c r="N328" s="33" t="str">
        <f>配置表!Y327</f>
        <v>○</v>
      </c>
      <c r="O328" s="32">
        <f>配置表!Z327</f>
        <v>5</v>
      </c>
      <c r="P328" s="33" t="str">
        <f>配置表!AA327</f>
        <v>○</v>
      </c>
      <c r="Q328" s="227">
        <f>配置表!AB327</f>
        <v>0.41666666666666669</v>
      </c>
      <c r="R328" s="227">
        <f>配置表!AC327</f>
        <v>0.70833333333333337</v>
      </c>
      <c r="S328" s="238" t="str">
        <f>配置表!AD327</f>
        <v/>
      </c>
      <c r="T328" s="63"/>
    </row>
    <row r="329" spans="1:29">
      <c r="A329" s="28" t="str">
        <f>配置表!L328</f>
        <v/>
      </c>
      <c r="B329" s="9">
        <f>配置表!M328</f>
        <v>46047</v>
      </c>
      <c r="C329" s="10" t="str">
        <f>配置表!N328</f>
        <v>日</v>
      </c>
      <c r="D329" s="63" t="str">
        <f>配置表!O328</f>
        <v>冬　特別展</v>
      </c>
      <c r="E329" s="63" t="str">
        <f>配置表!P328</f>
        <v>テーマ展</v>
      </c>
      <c r="F329" s="45" t="str">
        <f>配置表!Q328</f>
        <v>○</v>
      </c>
      <c r="G329" s="45">
        <f>配置表!R328</f>
        <v>0</v>
      </c>
      <c r="H329" s="33" t="str">
        <f>配置表!S328</f>
        <v/>
      </c>
      <c r="I329" s="10">
        <f>配置表!T328</f>
        <v>0</v>
      </c>
      <c r="J329" s="10" t="str">
        <f>配置表!U328</f>
        <v>●</v>
      </c>
      <c r="K329" s="32">
        <f>配置表!V328</f>
        <v>0</v>
      </c>
      <c r="L329" s="33" t="str">
        <f>配置表!W328</f>
        <v>◎</v>
      </c>
      <c r="M329" s="32">
        <f>配置表!X328</f>
        <v>0</v>
      </c>
      <c r="N329" s="33" t="str">
        <f>配置表!Y328</f>
        <v>○</v>
      </c>
      <c r="O329" s="32">
        <f>配置表!Z328</f>
        <v>5</v>
      </c>
      <c r="P329" s="33" t="str">
        <f>配置表!AA328</f>
        <v>○</v>
      </c>
      <c r="Q329" s="227">
        <f>配置表!AB328</f>
        <v>0.41666666666666669</v>
      </c>
      <c r="R329" s="227">
        <f>配置表!AC328</f>
        <v>0.70833333333333337</v>
      </c>
      <c r="S329" s="238" t="str">
        <f>配置表!AD328</f>
        <v/>
      </c>
      <c r="T329" s="63"/>
    </row>
    <row r="330" spans="1:29">
      <c r="A330" s="28" t="str">
        <f>配置表!L329</f>
        <v>閉</v>
      </c>
      <c r="B330" s="9">
        <f>配置表!M329</f>
        <v>46048</v>
      </c>
      <c r="C330" s="10" t="str">
        <f>配置表!N329</f>
        <v>月</v>
      </c>
      <c r="D330" s="63" t="str">
        <f>配置表!O329</f>
        <v>冬　特別展</v>
      </c>
      <c r="E330" s="63" t="str">
        <f>配置表!P329</f>
        <v>テーマ展</v>
      </c>
      <c r="F330" s="44" t="str">
        <f>配置表!Q329</f>
        <v>休</v>
      </c>
      <c r="G330" s="32">
        <f>配置表!R329</f>
        <v>0</v>
      </c>
      <c r="H330" s="33" t="str">
        <f>配置表!S329</f>
        <v>休</v>
      </c>
      <c r="I330" s="32">
        <f>配置表!T329</f>
        <v>0</v>
      </c>
      <c r="J330" s="33" t="str">
        <f>配置表!U329</f>
        <v>休</v>
      </c>
      <c r="K330" s="32">
        <f>配置表!V329</f>
        <v>0</v>
      </c>
      <c r="L330" s="33" t="str">
        <f>配置表!W329</f>
        <v>休</v>
      </c>
      <c r="M330" s="32">
        <f>配置表!X329</f>
        <v>0</v>
      </c>
      <c r="N330" s="33" t="str">
        <f>配置表!Y329</f>
        <v>休</v>
      </c>
      <c r="O330" s="32" t="str">
        <f>配置表!Z329</f>
        <v/>
      </c>
      <c r="P330" s="33" t="str">
        <f>配置表!AA329</f>
        <v>休</v>
      </c>
      <c r="Q330" s="227" t="str">
        <f>配置表!AB329</f>
        <v/>
      </c>
      <c r="R330" s="227" t="str">
        <f>配置表!AC329</f>
        <v/>
      </c>
      <c r="S330" s="238" t="str">
        <f>配置表!AD329</f>
        <v/>
      </c>
      <c r="T330" s="63"/>
    </row>
    <row r="331" spans="1:29">
      <c r="A331" s="28" t="str">
        <f>配置表!L330</f>
        <v/>
      </c>
      <c r="B331" s="9">
        <f>配置表!M330</f>
        <v>46049</v>
      </c>
      <c r="C331" s="10" t="str">
        <f>配置表!N330</f>
        <v>火</v>
      </c>
      <c r="D331" s="63" t="str">
        <f>配置表!O330</f>
        <v>冬　特別展</v>
      </c>
      <c r="E331" s="63" t="str">
        <f>配置表!P330</f>
        <v>テーマ展</v>
      </c>
      <c r="F331" s="45" t="str">
        <f>配置表!Q330</f>
        <v>○</v>
      </c>
      <c r="G331" s="45">
        <f>配置表!R330</f>
        <v>0</v>
      </c>
      <c r="H331" s="33" t="str">
        <f>配置表!S330</f>
        <v/>
      </c>
      <c r="I331" s="10">
        <f>配置表!T330</f>
        <v>0</v>
      </c>
      <c r="J331" s="10" t="str">
        <f>配置表!U330</f>
        <v>●</v>
      </c>
      <c r="K331" s="32">
        <f>配置表!V330</f>
        <v>0</v>
      </c>
      <c r="L331" s="33" t="str">
        <f>配置表!W330</f>
        <v/>
      </c>
      <c r="M331" s="32">
        <f>配置表!X330</f>
        <v>0</v>
      </c>
      <c r="N331" s="33" t="str">
        <f>配置表!Y330</f>
        <v>○</v>
      </c>
      <c r="O331" s="32">
        <f>配置表!Z330</f>
        <v>5</v>
      </c>
      <c r="P331" s="33" t="str">
        <f>配置表!AA330</f>
        <v>○</v>
      </c>
      <c r="Q331" s="227">
        <f>配置表!AB330</f>
        <v>0.41666666666666669</v>
      </c>
      <c r="R331" s="227">
        <f>配置表!AC330</f>
        <v>0.70833333333333337</v>
      </c>
      <c r="S331" s="238" t="str">
        <f>配置表!AD330</f>
        <v/>
      </c>
      <c r="T331" s="63"/>
    </row>
    <row r="332" spans="1:29">
      <c r="A332" s="28" t="str">
        <f>配置表!L331</f>
        <v/>
      </c>
      <c r="B332" s="9">
        <f>配置表!M331</f>
        <v>46050</v>
      </c>
      <c r="C332" s="10" t="str">
        <f>配置表!N331</f>
        <v>水</v>
      </c>
      <c r="D332" s="63" t="str">
        <f>配置表!O331</f>
        <v>冬　特別展</v>
      </c>
      <c r="E332" s="63" t="str">
        <f>配置表!P331</f>
        <v>テーマ展</v>
      </c>
      <c r="F332" s="45" t="str">
        <f>配置表!Q331</f>
        <v>○</v>
      </c>
      <c r="G332" s="45">
        <f>配置表!R331</f>
        <v>0</v>
      </c>
      <c r="H332" s="33" t="str">
        <f>配置表!S331</f>
        <v/>
      </c>
      <c r="I332" s="10">
        <f>配置表!T331</f>
        <v>0</v>
      </c>
      <c r="J332" s="10" t="str">
        <f>配置表!U331</f>
        <v>●</v>
      </c>
      <c r="K332" s="32">
        <f>配置表!V331</f>
        <v>0</v>
      </c>
      <c r="L332" s="33" t="str">
        <f>配置表!W331</f>
        <v/>
      </c>
      <c r="M332" s="32">
        <f>配置表!X331</f>
        <v>0</v>
      </c>
      <c r="N332" s="33" t="str">
        <f>配置表!Y331</f>
        <v>○</v>
      </c>
      <c r="O332" s="32">
        <f>配置表!Z331</f>
        <v>5</v>
      </c>
      <c r="P332" s="33" t="str">
        <f>配置表!AA331</f>
        <v>○</v>
      </c>
      <c r="Q332" s="227">
        <f>配置表!AB331</f>
        <v>0.41666666666666669</v>
      </c>
      <c r="R332" s="227">
        <f>配置表!AC331</f>
        <v>0.70833333333333337</v>
      </c>
      <c r="S332" s="238" t="str">
        <f>配置表!AD331</f>
        <v/>
      </c>
      <c r="T332" s="63"/>
    </row>
    <row r="333" spans="1:29">
      <c r="A333" s="28" t="str">
        <f>配置表!L332</f>
        <v/>
      </c>
      <c r="B333" s="9">
        <f>配置表!M332</f>
        <v>46051</v>
      </c>
      <c r="C333" s="10" t="str">
        <f>配置表!N332</f>
        <v>木</v>
      </c>
      <c r="D333" s="63" t="str">
        <f>配置表!O332</f>
        <v>冬　特別展</v>
      </c>
      <c r="E333" s="63" t="str">
        <f>配置表!P332</f>
        <v>テーマ展</v>
      </c>
      <c r="F333" s="45" t="str">
        <f>配置表!Q332</f>
        <v>○</v>
      </c>
      <c r="G333" s="45">
        <f>配置表!R332</f>
        <v>0</v>
      </c>
      <c r="H333" s="33" t="str">
        <f>配置表!S332</f>
        <v/>
      </c>
      <c r="I333" s="10">
        <f>配置表!T332</f>
        <v>0</v>
      </c>
      <c r="J333" s="10" t="str">
        <f>配置表!U332</f>
        <v>●</v>
      </c>
      <c r="K333" s="32">
        <f>配置表!V332</f>
        <v>0</v>
      </c>
      <c r="L333" s="33" t="str">
        <f>配置表!W332</f>
        <v/>
      </c>
      <c r="M333" s="32">
        <f>配置表!X332</f>
        <v>0</v>
      </c>
      <c r="N333" s="33" t="str">
        <f>配置表!Y332</f>
        <v>○</v>
      </c>
      <c r="O333" s="32">
        <f>配置表!Z332</f>
        <v>5</v>
      </c>
      <c r="P333" s="33" t="str">
        <f>配置表!AA332</f>
        <v>○</v>
      </c>
      <c r="Q333" s="227">
        <f>配置表!AB332</f>
        <v>0.41666666666666669</v>
      </c>
      <c r="R333" s="227">
        <f>配置表!AC332</f>
        <v>0.70833333333333337</v>
      </c>
      <c r="S333" s="238" t="str">
        <f>配置表!AD332</f>
        <v/>
      </c>
      <c r="T333" s="63"/>
    </row>
    <row r="334" spans="1:29">
      <c r="A334" s="28" t="str">
        <f>配置表!L333</f>
        <v/>
      </c>
      <c r="B334" s="9">
        <f>配置表!M333</f>
        <v>46052</v>
      </c>
      <c r="C334" s="10" t="str">
        <f>配置表!N333</f>
        <v>金</v>
      </c>
      <c r="D334" s="63" t="str">
        <f>配置表!O333</f>
        <v>冬　特別展</v>
      </c>
      <c r="E334" s="63" t="str">
        <f>配置表!P333</f>
        <v>テーマ展</v>
      </c>
      <c r="F334" s="45" t="str">
        <f>配置表!Q333</f>
        <v>○</v>
      </c>
      <c r="G334" s="45">
        <f>配置表!R333</f>
        <v>0</v>
      </c>
      <c r="H334" s="33" t="str">
        <f>配置表!S333</f>
        <v/>
      </c>
      <c r="I334" s="10">
        <f>配置表!T333</f>
        <v>0</v>
      </c>
      <c r="J334" s="10" t="str">
        <f>配置表!U333</f>
        <v>●</v>
      </c>
      <c r="K334" s="32">
        <f>配置表!V333</f>
        <v>0</v>
      </c>
      <c r="L334" s="33" t="str">
        <f>配置表!W333</f>
        <v/>
      </c>
      <c r="M334" s="32">
        <f>配置表!X333</f>
        <v>0</v>
      </c>
      <c r="N334" s="33" t="str">
        <f>配置表!Y333</f>
        <v>○</v>
      </c>
      <c r="O334" s="32">
        <f>配置表!Z333</f>
        <v>5</v>
      </c>
      <c r="P334" s="33" t="str">
        <f>配置表!AA333</f>
        <v>○</v>
      </c>
      <c r="Q334" s="227">
        <f>配置表!AB333</f>
        <v>0.41666666666666669</v>
      </c>
      <c r="R334" s="227">
        <f>配置表!AC333</f>
        <v>0.70833333333333337</v>
      </c>
      <c r="S334" s="238" t="str">
        <f>配置表!AD333</f>
        <v/>
      </c>
      <c r="T334" s="63"/>
    </row>
    <row r="335" spans="1:29" ht="12" thickBot="1">
      <c r="A335" s="28" t="str">
        <f>配置表!L334</f>
        <v/>
      </c>
      <c r="B335" s="29">
        <f>配置表!M334</f>
        <v>46053</v>
      </c>
      <c r="C335" s="22" t="str">
        <f>配置表!N334</f>
        <v>土</v>
      </c>
      <c r="D335" s="65" t="str">
        <f>配置表!O334</f>
        <v>冬　特別展</v>
      </c>
      <c r="E335" s="65" t="str">
        <f>配置表!P334</f>
        <v>テーマ展</v>
      </c>
      <c r="F335" s="40" t="str">
        <f>配置表!Q334</f>
        <v>○</v>
      </c>
      <c r="G335" s="41">
        <f>配置表!R334</f>
        <v>0</v>
      </c>
      <c r="H335" s="34" t="str">
        <f>配置表!S334</f>
        <v/>
      </c>
      <c r="I335" s="22">
        <f>配置表!T334</f>
        <v>0</v>
      </c>
      <c r="J335" s="22" t="str">
        <f>配置表!U334</f>
        <v>●</v>
      </c>
      <c r="K335" s="23">
        <f>配置表!V334</f>
        <v>0</v>
      </c>
      <c r="L335" s="34" t="str">
        <f>配置表!W334</f>
        <v>◎</v>
      </c>
      <c r="M335" s="23">
        <f>配置表!X334</f>
        <v>0</v>
      </c>
      <c r="N335" s="34" t="str">
        <f>配置表!Y334</f>
        <v>○</v>
      </c>
      <c r="O335" s="23">
        <f>配置表!Z334</f>
        <v>5</v>
      </c>
      <c r="P335" s="34" t="str">
        <f>配置表!AA334</f>
        <v>○</v>
      </c>
      <c r="Q335" s="233">
        <f>配置表!AB334</f>
        <v>0.41666666666666669</v>
      </c>
      <c r="R335" s="233">
        <f>配置表!AC334</f>
        <v>0.70833333333333337</v>
      </c>
      <c r="S335" s="239" t="str">
        <f>配置表!AD334</f>
        <v/>
      </c>
      <c r="T335" s="63"/>
    </row>
    <row r="336" spans="1:29" ht="14.25" thickBot="1">
      <c r="A336" s="28"/>
      <c r="B336" s="168"/>
      <c r="C336" s="169"/>
      <c r="D336" s="169"/>
      <c r="E336" s="169"/>
      <c r="F336" s="24">
        <f>COUNTIF(F305:F335,"○")</f>
        <v>26</v>
      </c>
      <c r="G336" s="10"/>
      <c r="H336" s="10"/>
      <c r="I336" s="10"/>
      <c r="J336" s="10"/>
      <c r="K336" s="8"/>
      <c r="L336" s="10"/>
      <c r="M336" s="8"/>
      <c r="N336" s="10"/>
      <c r="O336" s="8"/>
      <c r="P336" s="10"/>
      <c r="Q336" s="63" t="str">
        <f>IF(ISERROR(VLOOKUP(B336,データ!$A$3:$C$19,2,FALSE)),"",VLOOKUP(B336,データ!$A$3:$C$19,2,FALSE))</f>
        <v/>
      </c>
      <c r="R336" s="63"/>
      <c r="S336" s="63"/>
      <c r="T336" s="63"/>
    </row>
    <row r="337" spans="1:29" customFormat="1" ht="27.75" customHeight="1" thickBot="1">
      <c r="A337" s="28"/>
      <c r="B337" s="58"/>
      <c r="C337" s="59"/>
      <c r="D337" s="42" t="s">
        <v>5</v>
      </c>
      <c r="E337" s="60" t="s">
        <v>6</v>
      </c>
      <c r="F337" s="49" t="s">
        <v>8</v>
      </c>
      <c r="G337" s="354" t="s">
        <v>13</v>
      </c>
      <c r="H337" s="355"/>
      <c r="I337" s="354" t="s">
        <v>14</v>
      </c>
      <c r="J337" s="356"/>
      <c r="K337" s="354" t="s">
        <v>9</v>
      </c>
      <c r="L337" s="355"/>
      <c r="M337" s="354" t="s">
        <v>10</v>
      </c>
      <c r="N337" s="355"/>
      <c r="O337" s="354" t="s">
        <v>1</v>
      </c>
      <c r="P337" s="355"/>
      <c r="Q337" s="38" t="s">
        <v>114</v>
      </c>
      <c r="R337" s="38" t="s">
        <v>35</v>
      </c>
      <c r="S337" s="38" t="s">
        <v>116</v>
      </c>
      <c r="T337" s="63"/>
      <c r="U337" s="149" t="s">
        <v>84</v>
      </c>
      <c r="V337" s="156"/>
      <c r="W337" s="156" t="s">
        <v>74</v>
      </c>
      <c r="X337" s="175" t="s">
        <v>60</v>
      </c>
      <c r="Y337" s="175" t="s">
        <v>70</v>
      </c>
      <c r="Z337" s="150" t="s">
        <v>71</v>
      </c>
      <c r="AA337" s="150" t="s">
        <v>61</v>
      </c>
      <c r="AB337" s="150" t="s">
        <v>62</v>
      </c>
      <c r="AC337" s="151" t="s">
        <v>63</v>
      </c>
    </row>
    <row r="338" spans="1:29" ht="13.5">
      <c r="A338" s="28" t="str">
        <f>配置表!L337</f>
        <v/>
      </c>
      <c r="B338" s="25">
        <f>配置表!M337</f>
        <v>46054</v>
      </c>
      <c r="C338" s="24" t="str">
        <f>配置表!N337</f>
        <v>日</v>
      </c>
      <c r="D338" s="70" t="str">
        <f>配置表!O337</f>
        <v>冬　特別展</v>
      </c>
      <c r="E338" s="70" t="str">
        <f>配置表!P337</f>
        <v>テーマ展</v>
      </c>
      <c r="F338" s="45" t="str">
        <f>配置表!Q337</f>
        <v>○</v>
      </c>
      <c r="G338" s="46">
        <f>配置表!R337</f>
        <v>0</v>
      </c>
      <c r="H338" s="47" t="str">
        <f>配置表!S337</f>
        <v/>
      </c>
      <c r="I338" s="24">
        <f>配置表!T337</f>
        <v>0</v>
      </c>
      <c r="J338" s="24" t="str">
        <f>配置表!U337</f>
        <v>●</v>
      </c>
      <c r="K338" s="35">
        <f>配置表!V337</f>
        <v>0</v>
      </c>
      <c r="L338" s="47" t="str">
        <f>配置表!W337</f>
        <v>◎</v>
      </c>
      <c r="M338" s="35">
        <f>配置表!X337</f>
        <v>0</v>
      </c>
      <c r="N338" s="47" t="str">
        <f>配置表!Y337</f>
        <v>○</v>
      </c>
      <c r="O338" s="35">
        <f>配置表!Z337</f>
        <v>5</v>
      </c>
      <c r="P338" s="47" t="str">
        <f>配置表!AA337</f>
        <v>○</v>
      </c>
      <c r="Q338" s="232">
        <f>配置表!AB337</f>
        <v>0.41666666666666669</v>
      </c>
      <c r="R338" s="232">
        <f>配置表!AC337</f>
        <v>0.70833333333333337</v>
      </c>
      <c r="S338" s="237" t="str">
        <f>配置表!AD337</f>
        <v/>
      </c>
      <c r="T338" s="63"/>
      <c r="U338" s="173" t="s">
        <v>88</v>
      </c>
      <c r="V338" s="156"/>
      <c r="W338" s="156"/>
      <c r="X338" s="176"/>
      <c r="Y338" s="177"/>
      <c r="Z338" s="181">
        <f>COUNTIF(F338:F368,V338)</f>
        <v>0</v>
      </c>
      <c r="AA338" s="174">
        <f>X338*Y338*Z338</f>
        <v>0</v>
      </c>
      <c r="AB338" s="181"/>
      <c r="AC338" s="315">
        <f>SUM(AA338*AB338)</f>
        <v>0</v>
      </c>
    </row>
    <row r="339" spans="1:29" ht="13.5">
      <c r="A339" s="28" t="str">
        <f>配置表!L338</f>
        <v>閉</v>
      </c>
      <c r="B339" s="9">
        <f>配置表!M338</f>
        <v>46055</v>
      </c>
      <c r="C339" s="10" t="str">
        <f>配置表!N338</f>
        <v>月</v>
      </c>
      <c r="D339" s="63" t="str">
        <f>配置表!O338</f>
        <v>冬　特別展</v>
      </c>
      <c r="E339" s="63" t="str">
        <f>配置表!P338</f>
        <v>テーマ展</v>
      </c>
      <c r="F339" s="44" t="str">
        <f>配置表!Q338</f>
        <v>休</v>
      </c>
      <c r="G339" s="32">
        <f>配置表!R338</f>
        <v>0</v>
      </c>
      <c r="H339" s="33" t="str">
        <f>配置表!S338</f>
        <v>休</v>
      </c>
      <c r="I339" s="32">
        <f>配置表!T338</f>
        <v>0</v>
      </c>
      <c r="J339" s="33" t="str">
        <f>配置表!U338</f>
        <v>休</v>
      </c>
      <c r="K339" s="32">
        <f>配置表!V338</f>
        <v>0</v>
      </c>
      <c r="L339" s="33" t="str">
        <f>配置表!W338</f>
        <v>休</v>
      </c>
      <c r="M339" s="32">
        <f>配置表!X338</f>
        <v>0</v>
      </c>
      <c r="N339" s="33" t="str">
        <f>配置表!Y338</f>
        <v>休</v>
      </c>
      <c r="O339" s="32" t="str">
        <f>配置表!Z338</f>
        <v/>
      </c>
      <c r="P339" s="33" t="str">
        <f>配置表!AA338</f>
        <v>休</v>
      </c>
      <c r="Q339" s="227" t="str">
        <f>配置表!AB338</f>
        <v/>
      </c>
      <c r="R339" s="227" t="str">
        <f>配置表!AC338</f>
        <v/>
      </c>
      <c r="S339" s="238" t="str">
        <f>配置表!AD338</f>
        <v/>
      </c>
      <c r="T339" s="63"/>
      <c r="U339" s="152" t="s">
        <v>88</v>
      </c>
      <c r="V339" s="155" t="s">
        <v>66</v>
      </c>
      <c r="W339" s="274" t="s">
        <v>126</v>
      </c>
      <c r="X339" s="275">
        <v>8.5</v>
      </c>
      <c r="Y339" s="158">
        <v>1</v>
      </c>
      <c r="Z339" s="182">
        <f>COUNTIF(F338:F368,V339)</f>
        <v>20</v>
      </c>
      <c r="AA339" s="154">
        <f t="shared" ref="AA339:AA354" si="20">X339*Y339*Z339</f>
        <v>170</v>
      </c>
      <c r="AB339" s="182">
        <f>AB$9</f>
        <v>0</v>
      </c>
      <c r="AC339" s="183">
        <f t="shared" ref="AC339:AC354" si="21">SUM(AA339*AB339)</f>
        <v>0</v>
      </c>
    </row>
    <row r="340" spans="1:29" ht="13.5">
      <c r="A340" s="28" t="str">
        <f>配置表!L339</f>
        <v/>
      </c>
      <c r="B340" s="9">
        <f>配置表!M339</f>
        <v>46056</v>
      </c>
      <c r="C340" s="10" t="str">
        <f>配置表!N339</f>
        <v>火</v>
      </c>
      <c r="D340" s="63" t="str">
        <f>配置表!O339</f>
        <v>冬　特別展</v>
      </c>
      <c r="E340" s="63" t="str">
        <f>配置表!P339</f>
        <v>テーマ展</v>
      </c>
      <c r="F340" s="45" t="str">
        <f>配置表!Q339</f>
        <v>○</v>
      </c>
      <c r="G340" s="45">
        <f>配置表!R339</f>
        <v>0</v>
      </c>
      <c r="H340" s="33" t="str">
        <f>配置表!S339</f>
        <v/>
      </c>
      <c r="I340" s="10">
        <f>配置表!T339</f>
        <v>0</v>
      </c>
      <c r="J340" s="10" t="str">
        <f>配置表!U339</f>
        <v>●</v>
      </c>
      <c r="K340" s="32">
        <f>配置表!V339</f>
        <v>0</v>
      </c>
      <c r="L340" s="33" t="str">
        <f>配置表!W339</f>
        <v/>
      </c>
      <c r="M340" s="32">
        <f>配置表!X339</f>
        <v>0</v>
      </c>
      <c r="N340" s="33" t="str">
        <f>配置表!Y339</f>
        <v>○</v>
      </c>
      <c r="O340" s="32">
        <f>配置表!Z339</f>
        <v>5</v>
      </c>
      <c r="P340" s="33" t="str">
        <f>配置表!AA339</f>
        <v>○</v>
      </c>
      <c r="Q340" s="227">
        <f>配置表!AB339</f>
        <v>0.41666666666666669</v>
      </c>
      <c r="R340" s="227">
        <f>配置表!AC339</f>
        <v>0.70833333333333337</v>
      </c>
      <c r="S340" s="238" t="str">
        <f>配置表!AD339</f>
        <v/>
      </c>
      <c r="T340" s="63"/>
      <c r="U340" s="152" t="s">
        <v>89</v>
      </c>
      <c r="V340" s="155" t="s">
        <v>66</v>
      </c>
      <c r="W340" s="155" t="s">
        <v>141</v>
      </c>
      <c r="X340" s="191">
        <v>5.25</v>
      </c>
      <c r="Y340" s="158">
        <v>1</v>
      </c>
      <c r="Z340" s="182">
        <f>COUNTIF(H338:H368,V340)</f>
        <v>0</v>
      </c>
      <c r="AA340" s="154">
        <f t="shared" si="20"/>
        <v>0</v>
      </c>
      <c r="AB340" s="182">
        <f>AB$10</f>
        <v>0</v>
      </c>
      <c r="AC340" s="183">
        <f t="shared" si="21"/>
        <v>0</v>
      </c>
    </row>
    <row r="341" spans="1:29" ht="13.5">
      <c r="A341" s="28" t="str">
        <f>配置表!L340</f>
        <v/>
      </c>
      <c r="B341" s="9">
        <f>配置表!M340</f>
        <v>46057</v>
      </c>
      <c r="C341" s="10" t="str">
        <f>配置表!N340</f>
        <v>水</v>
      </c>
      <c r="D341" s="63" t="str">
        <f>配置表!O340</f>
        <v>冬　特別展</v>
      </c>
      <c r="E341" s="63" t="str">
        <f>配置表!P340</f>
        <v>テーマ展</v>
      </c>
      <c r="F341" s="45" t="str">
        <f>配置表!Q340</f>
        <v>○</v>
      </c>
      <c r="G341" s="45">
        <f>配置表!R340</f>
        <v>0</v>
      </c>
      <c r="H341" s="33" t="str">
        <f>配置表!S340</f>
        <v/>
      </c>
      <c r="I341" s="10">
        <f>配置表!T340</f>
        <v>0</v>
      </c>
      <c r="J341" s="10" t="str">
        <f>配置表!U340</f>
        <v>●</v>
      </c>
      <c r="K341" s="32">
        <f>配置表!V340</f>
        <v>0</v>
      </c>
      <c r="L341" s="33" t="str">
        <f>配置表!W340</f>
        <v/>
      </c>
      <c r="M341" s="32">
        <f>配置表!X340</f>
        <v>0</v>
      </c>
      <c r="N341" s="33" t="str">
        <f>配置表!Y340</f>
        <v>○</v>
      </c>
      <c r="O341" s="32">
        <f>配置表!Z340</f>
        <v>5</v>
      </c>
      <c r="P341" s="33" t="str">
        <f>配置表!AA340</f>
        <v>○</v>
      </c>
      <c r="Q341" s="227">
        <f>配置表!AB340</f>
        <v>0.41666666666666669</v>
      </c>
      <c r="R341" s="227">
        <f>配置表!AC340</f>
        <v>0.70833333333333337</v>
      </c>
      <c r="S341" s="238" t="str">
        <f>配置表!AD340</f>
        <v/>
      </c>
      <c r="T341" s="63"/>
      <c r="U341" s="152"/>
      <c r="V341" s="155"/>
      <c r="W341" s="155"/>
      <c r="X341" s="153"/>
      <c r="Y341" s="158"/>
      <c r="Z341" s="182">
        <f>COUNTIF(H338:H368,V341)</f>
        <v>0</v>
      </c>
      <c r="AA341" s="154">
        <f t="shared" si="20"/>
        <v>0</v>
      </c>
      <c r="AB341" s="182"/>
      <c r="AC341" s="183">
        <f t="shared" si="21"/>
        <v>0</v>
      </c>
    </row>
    <row r="342" spans="1:29" ht="13.5">
      <c r="A342" s="28" t="str">
        <f>配置表!L341</f>
        <v/>
      </c>
      <c r="B342" s="9">
        <f>配置表!M341</f>
        <v>46058</v>
      </c>
      <c r="C342" s="10" t="str">
        <f>配置表!N341</f>
        <v>木</v>
      </c>
      <c r="D342" s="63" t="str">
        <f>配置表!O341</f>
        <v>冬　特別展</v>
      </c>
      <c r="E342" s="63" t="str">
        <f>配置表!P341</f>
        <v>テーマ展</v>
      </c>
      <c r="F342" s="45" t="str">
        <f>配置表!Q341</f>
        <v>○</v>
      </c>
      <c r="G342" s="45">
        <f>配置表!R341</f>
        <v>0</v>
      </c>
      <c r="H342" s="33" t="str">
        <f>配置表!S341</f>
        <v/>
      </c>
      <c r="I342" s="10">
        <f>配置表!T341</f>
        <v>0</v>
      </c>
      <c r="J342" s="10" t="str">
        <f>配置表!U341</f>
        <v>●</v>
      </c>
      <c r="K342" s="32">
        <f>配置表!V341</f>
        <v>0</v>
      </c>
      <c r="L342" s="33" t="str">
        <f>配置表!W341</f>
        <v/>
      </c>
      <c r="M342" s="32">
        <f>配置表!X341</f>
        <v>0</v>
      </c>
      <c r="N342" s="33" t="str">
        <f>配置表!Y341</f>
        <v>○</v>
      </c>
      <c r="O342" s="32">
        <f>配置表!Z341</f>
        <v>5</v>
      </c>
      <c r="P342" s="33" t="str">
        <f>配置表!AA341</f>
        <v>○</v>
      </c>
      <c r="Q342" s="227">
        <f>配置表!AB341</f>
        <v>0.41666666666666669</v>
      </c>
      <c r="R342" s="227">
        <f>配置表!AC341</f>
        <v>0.70833333333333337</v>
      </c>
      <c r="S342" s="238" t="str">
        <f>配置表!AD341</f>
        <v/>
      </c>
      <c r="T342" s="63"/>
      <c r="U342" s="152"/>
      <c r="V342" s="155"/>
      <c r="W342" s="155"/>
      <c r="X342" s="153"/>
      <c r="Y342" s="158"/>
      <c r="Z342" s="182">
        <f>COUNTIF(H338:H368,V342)</f>
        <v>0</v>
      </c>
      <c r="AA342" s="154">
        <f t="shared" si="20"/>
        <v>0</v>
      </c>
      <c r="AB342" s="182"/>
      <c r="AC342" s="183">
        <f t="shared" si="21"/>
        <v>0</v>
      </c>
    </row>
    <row r="343" spans="1:29" ht="13.5">
      <c r="A343" s="28" t="str">
        <f>配置表!L342</f>
        <v/>
      </c>
      <c r="B343" s="9">
        <f>配置表!M342</f>
        <v>46059</v>
      </c>
      <c r="C343" s="10" t="str">
        <f>配置表!N342</f>
        <v>金</v>
      </c>
      <c r="D343" s="63" t="str">
        <f>配置表!O342</f>
        <v>冬　特別展</v>
      </c>
      <c r="E343" s="63" t="str">
        <f>配置表!P342</f>
        <v>テーマ展</v>
      </c>
      <c r="F343" s="45" t="str">
        <f>配置表!Q342</f>
        <v>○</v>
      </c>
      <c r="G343" s="45">
        <f>配置表!R342</f>
        <v>0</v>
      </c>
      <c r="H343" s="33" t="str">
        <f>配置表!S342</f>
        <v/>
      </c>
      <c r="I343" s="10">
        <f>配置表!T342</f>
        <v>0</v>
      </c>
      <c r="J343" s="10" t="str">
        <f>配置表!U342</f>
        <v>●</v>
      </c>
      <c r="K343" s="32">
        <f>配置表!V342</f>
        <v>0</v>
      </c>
      <c r="L343" s="33" t="str">
        <f>配置表!W342</f>
        <v/>
      </c>
      <c r="M343" s="32">
        <f>配置表!X342</f>
        <v>0</v>
      </c>
      <c r="N343" s="33" t="str">
        <f>配置表!Y342</f>
        <v>○</v>
      </c>
      <c r="O343" s="32">
        <f>配置表!Z342</f>
        <v>5</v>
      </c>
      <c r="P343" s="33" t="str">
        <f>配置表!AA342</f>
        <v>○</v>
      </c>
      <c r="Q343" s="227">
        <f>配置表!AB342</f>
        <v>0.41666666666666669</v>
      </c>
      <c r="R343" s="227">
        <f>配置表!AC342</f>
        <v>0.70833333333333337</v>
      </c>
      <c r="S343" s="238" t="str">
        <f>配置表!AD342</f>
        <v/>
      </c>
      <c r="T343" s="63"/>
      <c r="U343" s="152" t="s">
        <v>90</v>
      </c>
      <c r="V343" s="155" t="s">
        <v>46</v>
      </c>
      <c r="W343" s="155" t="s">
        <v>142</v>
      </c>
      <c r="X343" s="191">
        <v>6.75</v>
      </c>
      <c r="Y343" s="158">
        <v>1</v>
      </c>
      <c r="Z343" s="182">
        <f>COUNTIF(J338:J368,V343)</f>
        <v>20</v>
      </c>
      <c r="AA343" s="154">
        <f t="shared" si="20"/>
        <v>135</v>
      </c>
      <c r="AB343" s="182">
        <f>AB$13</f>
        <v>0</v>
      </c>
      <c r="AC343" s="183">
        <f t="shared" si="21"/>
        <v>0</v>
      </c>
    </row>
    <row r="344" spans="1:29" ht="13.5">
      <c r="A344" s="28" t="str">
        <f>配置表!L343</f>
        <v/>
      </c>
      <c r="B344" s="9">
        <f>配置表!M343</f>
        <v>46060</v>
      </c>
      <c r="C344" s="10" t="str">
        <f>配置表!N343</f>
        <v>土</v>
      </c>
      <c r="D344" s="63" t="str">
        <f>配置表!O343</f>
        <v>冬　特別展</v>
      </c>
      <c r="E344" s="63" t="str">
        <f>配置表!P343</f>
        <v>テーマ展</v>
      </c>
      <c r="F344" s="45" t="str">
        <f>配置表!Q343</f>
        <v>○</v>
      </c>
      <c r="G344" s="45">
        <f>配置表!R343</f>
        <v>0</v>
      </c>
      <c r="H344" s="33" t="str">
        <f>配置表!S343</f>
        <v/>
      </c>
      <c r="I344" s="10">
        <f>配置表!T343</f>
        <v>0</v>
      </c>
      <c r="J344" s="10" t="str">
        <f>配置表!U343</f>
        <v>●</v>
      </c>
      <c r="K344" s="32">
        <f>配置表!V343</f>
        <v>0</v>
      </c>
      <c r="L344" s="33" t="str">
        <f>配置表!W343</f>
        <v>◎</v>
      </c>
      <c r="M344" s="32">
        <f>配置表!X343</f>
        <v>0</v>
      </c>
      <c r="N344" s="33" t="str">
        <f>配置表!Y343</f>
        <v>○</v>
      </c>
      <c r="O344" s="32">
        <f>配置表!Z343</f>
        <v>5</v>
      </c>
      <c r="P344" s="33" t="str">
        <f>配置表!AA343</f>
        <v>○</v>
      </c>
      <c r="Q344" s="227">
        <f>配置表!AB343</f>
        <v>0.41666666666666669</v>
      </c>
      <c r="R344" s="227">
        <f>配置表!AC343</f>
        <v>0.70833333333333337</v>
      </c>
      <c r="S344" s="238" t="str">
        <f>配置表!AD343</f>
        <v/>
      </c>
      <c r="T344" s="63"/>
      <c r="U344" s="152"/>
      <c r="V344" s="155"/>
      <c r="W344" s="155"/>
      <c r="X344" s="153"/>
      <c r="Y344" s="158"/>
      <c r="Z344" s="182">
        <f>COUNTIF(J338:J368,V344)</f>
        <v>0</v>
      </c>
      <c r="AA344" s="154">
        <f t="shared" si="20"/>
        <v>0</v>
      </c>
      <c r="AB344" s="182"/>
      <c r="AC344" s="183">
        <f t="shared" si="21"/>
        <v>0</v>
      </c>
    </row>
    <row r="345" spans="1:29" ht="13.5">
      <c r="A345" s="28" t="str">
        <f>配置表!L344</f>
        <v/>
      </c>
      <c r="B345" s="9">
        <f>配置表!M344</f>
        <v>46061</v>
      </c>
      <c r="C345" s="10" t="str">
        <f>配置表!N344</f>
        <v>日</v>
      </c>
      <c r="D345" s="63" t="str">
        <f>配置表!O344</f>
        <v>冬　特別展</v>
      </c>
      <c r="E345" s="63" t="str">
        <f>配置表!P344</f>
        <v>テーマ展</v>
      </c>
      <c r="F345" s="45" t="str">
        <f>配置表!Q344</f>
        <v>○</v>
      </c>
      <c r="G345" s="45">
        <f>配置表!R344</f>
        <v>0</v>
      </c>
      <c r="H345" s="33" t="str">
        <f>配置表!S344</f>
        <v/>
      </c>
      <c r="I345" s="10">
        <f>配置表!T344</f>
        <v>0</v>
      </c>
      <c r="J345" s="10" t="str">
        <f>配置表!U344</f>
        <v>●</v>
      </c>
      <c r="K345" s="32">
        <f>配置表!V344</f>
        <v>0</v>
      </c>
      <c r="L345" s="33" t="str">
        <f>配置表!W344</f>
        <v>◎</v>
      </c>
      <c r="M345" s="32">
        <f>配置表!X344</f>
        <v>0</v>
      </c>
      <c r="N345" s="33" t="str">
        <f>配置表!Y344</f>
        <v>○</v>
      </c>
      <c r="O345" s="32">
        <f>配置表!Z344</f>
        <v>5</v>
      </c>
      <c r="P345" s="33" t="str">
        <f>配置表!AA344</f>
        <v>○</v>
      </c>
      <c r="Q345" s="227">
        <f>配置表!AB344</f>
        <v>0.41666666666666669</v>
      </c>
      <c r="R345" s="227">
        <f>配置表!AC344</f>
        <v>0.70833333333333337</v>
      </c>
      <c r="S345" s="238" t="str">
        <f>配置表!AD344</f>
        <v/>
      </c>
      <c r="T345" s="63"/>
      <c r="U345" s="152" t="s">
        <v>91</v>
      </c>
      <c r="V345" s="155" t="s">
        <v>66</v>
      </c>
      <c r="W345" s="155" t="s">
        <v>141</v>
      </c>
      <c r="X345" s="191">
        <v>5.25</v>
      </c>
      <c r="Y345" s="158">
        <v>1</v>
      </c>
      <c r="Z345" s="186">
        <f>COUNTIF(L338:L368,V345)</f>
        <v>0</v>
      </c>
      <c r="AA345" s="154">
        <f t="shared" si="20"/>
        <v>0</v>
      </c>
      <c r="AB345" s="182">
        <f>AB$15</f>
        <v>0</v>
      </c>
      <c r="AC345" s="183">
        <f t="shared" si="21"/>
        <v>0</v>
      </c>
    </row>
    <row r="346" spans="1:29" ht="13.5">
      <c r="A346" s="28" t="str">
        <f>配置表!L345</f>
        <v>閉</v>
      </c>
      <c r="B346" s="9">
        <f>配置表!M345</f>
        <v>46062</v>
      </c>
      <c r="C346" s="10" t="str">
        <f>配置表!N345</f>
        <v>月</v>
      </c>
      <c r="D346" s="63" t="str">
        <f>配置表!O345</f>
        <v>冬　特別展</v>
      </c>
      <c r="E346" s="63" t="str">
        <f>配置表!P345</f>
        <v>テーマ展</v>
      </c>
      <c r="F346" s="44" t="str">
        <f>配置表!Q345</f>
        <v>休</v>
      </c>
      <c r="G346" s="32">
        <f>配置表!R345</f>
        <v>0</v>
      </c>
      <c r="H346" s="33" t="str">
        <f>配置表!S345</f>
        <v>休</v>
      </c>
      <c r="I346" s="32">
        <f>配置表!T345</f>
        <v>0</v>
      </c>
      <c r="J346" s="33" t="str">
        <f>配置表!U345</f>
        <v>休</v>
      </c>
      <c r="K346" s="32">
        <f>配置表!V345</f>
        <v>0</v>
      </c>
      <c r="L346" s="33" t="str">
        <f>配置表!W345</f>
        <v>休</v>
      </c>
      <c r="M346" s="32">
        <f>配置表!X345</f>
        <v>0</v>
      </c>
      <c r="N346" s="33" t="str">
        <f>配置表!Y345</f>
        <v>休</v>
      </c>
      <c r="O346" s="32" t="str">
        <f>配置表!Z345</f>
        <v/>
      </c>
      <c r="P346" s="33" t="str">
        <f>配置表!AA345</f>
        <v>休</v>
      </c>
      <c r="Q346" s="227" t="str">
        <f>配置表!AB345</f>
        <v/>
      </c>
      <c r="R346" s="227" t="str">
        <f>配置表!AC345</f>
        <v/>
      </c>
      <c r="S346" s="238" t="str">
        <f>配置表!AD345</f>
        <v/>
      </c>
      <c r="T346" s="63"/>
      <c r="U346" s="152" t="s">
        <v>18</v>
      </c>
      <c r="V346" s="155" t="s">
        <v>15</v>
      </c>
      <c r="W346" s="155" t="s">
        <v>153</v>
      </c>
      <c r="X346" s="153">
        <v>5</v>
      </c>
      <c r="Y346" s="158">
        <v>1</v>
      </c>
      <c r="Z346" s="186">
        <f>COUNTIF(L338:L368,V346)</f>
        <v>9</v>
      </c>
      <c r="AA346" s="154">
        <f t="shared" si="20"/>
        <v>45</v>
      </c>
      <c r="AB346" s="182">
        <f>AB$16</f>
        <v>0</v>
      </c>
      <c r="AC346" s="183">
        <f t="shared" si="21"/>
        <v>0</v>
      </c>
    </row>
    <row r="347" spans="1:29" ht="13.5">
      <c r="A347" s="28" t="str">
        <f>配置表!L346</f>
        <v/>
      </c>
      <c r="B347" s="9">
        <f>配置表!M346</f>
        <v>46063</v>
      </c>
      <c r="C347" s="10" t="str">
        <f>配置表!N346</f>
        <v>火</v>
      </c>
      <c r="D347" s="63" t="str">
        <f>配置表!O346</f>
        <v>冬　特別展</v>
      </c>
      <c r="E347" s="63" t="str">
        <f>配置表!P346</f>
        <v>テーマ展</v>
      </c>
      <c r="F347" s="45" t="str">
        <f>配置表!Q346</f>
        <v>○</v>
      </c>
      <c r="G347" s="45">
        <f>配置表!R346</f>
        <v>0</v>
      </c>
      <c r="H347" s="33" t="str">
        <f>配置表!S346</f>
        <v/>
      </c>
      <c r="I347" s="10">
        <f>配置表!T346</f>
        <v>0</v>
      </c>
      <c r="J347" s="10" t="str">
        <f>配置表!U346</f>
        <v>●</v>
      </c>
      <c r="K347" s="32">
        <f>配置表!V346</f>
        <v>0</v>
      </c>
      <c r="L347" s="33" t="str">
        <f>配置表!W346</f>
        <v/>
      </c>
      <c r="M347" s="32">
        <f>配置表!X346</f>
        <v>0</v>
      </c>
      <c r="N347" s="33" t="str">
        <f>配置表!Y346</f>
        <v>○</v>
      </c>
      <c r="O347" s="32">
        <f>配置表!Z346</f>
        <v>5</v>
      </c>
      <c r="P347" s="33" t="str">
        <f>配置表!AA346</f>
        <v>○</v>
      </c>
      <c r="Q347" s="227">
        <f>配置表!AB346</f>
        <v>0.41666666666666669</v>
      </c>
      <c r="R347" s="227">
        <f>配置表!AC346</f>
        <v>0.70833333333333337</v>
      </c>
      <c r="S347" s="238" t="str">
        <f>配置表!AD346</f>
        <v/>
      </c>
      <c r="T347" s="63"/>
      <c r="U347" s="152"/>
      <c r="V347" s="155"/>
      <c r="W347" s="155"/>
      <c r="X347" s="153"/>
      <c r="Y347" s="158"/>
      <c r="Z347" s="186">
        <f>COUNTIF(N338:N368,V347)</f>
        <v>0</v>
      </c>
      <c r="AA347" s="154">
        <f t="shared" si="20"/>
        <v>0</v>
      </c>
      <c r="AB347" s="182"/>
      <c r="AC347" s="183">
        <f t="shared" si="21"/>
        <v>0</v>
      </c>
    </row>
    <row r="348" spans="1:29" ht="13.5">
      <c r="A348" s="28" t="str">
        <f>配置表!L347</f>
        <v/>
      </c>
      <c r="B348" s="9">
        <f>配置表!M347</f>
        <v>46064</v>
      </c>
      <c r="C348" s="10" t="str">
        <f>配置表!N347</f>
        <v>水</v>
      </c>
      <c r="D348" s="63" t="str">
        <f>配置表!O347</f>
        <v>冬　特別展</v>
      </c>
      <c r="E348" s="63" t="str">
        <f>配置表!P347</f>
        <v>テーマ展</v>
      </c>
      <c r="F348" s="45" t="str">
        <f>配置表!Q347</f>
        <v>○</v>
      </c>
      <c r="G348" s="45">
        <f>配置表!R347</f>
        <v>0</v>
      </c>
      <c r="H348" s="33" t="str">
        <f>配置表!S347</f>
        <v/>
      </c>
      <c r="I348" s="10">
        <f>配置表!T347</f>
        <v>0</v>
      </c>
      <c r="J348" s="10" t="str">
        <f>配置表!U347</f>
        <v>●</v>
      </c>
      <c r="K348" s="32">
        <f>配置表!V347</f>
        <v>0</v>
      </c>
      <c r="L348" s="33" t="str">
        <f>配置表!W347</f>
        <v>◎</v>
      </c>
      <c r="M348" s="32">
        <f>配置表!X347</f>
        <v>0</v>
      </c>
      <c r="N348" s="33" t="str">
        <f>配置表!Y347</f>
        <v>○</v>
      </c>
      <c r="O348" s="32">
        <f>配置表!Z347</f>
        <v>5</v>
      </c>
      <c r="P348" s="33" t="str">
        <f>配置表!AA347</f>
        <v>○</v>
      </c>
      <c r="Q348" s="227">
        <f>配置表!AB347</f>
        <v>0.41666666666666669</v>
      </c>
      <c r="R348" s="227">
        <f>配置表!AC347</f>
        <v>0.70833333333333337</v>
      </c>
      <c r="S348" s="238" t="str">
        <f>配置表!AD347</f>
        <v>建国記念の日</v>
      </c>
      <c r="T348" s="63"/>
      <c r="U348" s="152"/>
      <c r="V348" s="155"/>
      <c r="W348" s="274"/>
      <c r="X348" s="275"/>
      <c r="Y348" s="158"/>
      <c r="Z348" s="186">
        <f>COUNTIF(N338:N368,V348)</f>
        <v>0</v>
      </c>
      <c r="AA348" s="154">
        <f t="shared" si="20"/>
        <v>0</v>
      </c>
      <c r="AB348" s="182"/>
      <c r="AC348" s="183">
        <f t="shared" si="21"/>
        <v>0</v>
      </c>
    </row>
    <row r="349" spans="1:29" ht="13.5">
      <c r="A349" s="28" t="str">
        <f>配置表!L348</f>
        <v/>
      </c>
      <c r="B349" s="9">
        <f>配置表!M348</f>
        <v>46065</v>
      </c>
      <c r="C349" s="10" t="str">
        <f>配置表!N348</f>
        <v>木</v>
      </c>
      <c r="D349" s="63" t="str">
        <f>配置表!O348</f>
        <v>冬　特別展</v>
      </c>
      <c r="E349" s="63" t="str">
        <f>配置表!P348</f>
        <v>テーマ展</v>
      </c>
      <c r="F349" s="45" t="str">
        <f>配置表!Q348</f>
        <v>○</v>
      </c>
      <c r="G349" s="45">
        <f>配置表!R348</f>
        <v>0</v>
      </c>
      <c r="H349" s="33" t="str">
        <f>配置表!S348</f>
        <v/>
      </c>
      <c r="I349" s="10">
        <f>配置表!T348</f>
        <v>0</v>
      </c>
      <c r="J349" s="10" t="str">
        <f>配置表!U348</f>
        <v>●</v>
      </c>
      <c r="K349" s="32">
        <f>配置表!V348</f>
        <v>0</v>
      </c>
      <c r="L349" s="33" t="str">
        <f>配置表!W348</f>
        <v/>
      </c>
      <c r="M349" s="32">
        <f>配置表!X348</f>
        <v>0</v>
      </c>
      <c r="N349" s="33" t="str">
        <f>配置表!Y348</f>
        <v>○</v>
      </c>
      <c r="O349" s="32">
        <f>配置表!Z348</f>
        <v>5</v>
      </c>
      <c r="P349" s="33" t="str">
        <f>配置表!AA348</f>
        <v>○</v>
      </c>
      <c r="Q349" s="227">
        <f>配置表!AB348</f>
        <v>0.41666666666666669</v>
      </c>
      <c r="R349" s="227">
        <f>配置表!AC348</f>
        <v>0.70833333333333337</v>
      </c>
      <c r="S349" s="238" t="str">
        <f>配置表!AD348</f>
        <v/>
      </c>
      <c r="T349" s="63"/>
      <c r="U349" s="152" t="s">
        <v>19</v>
      </c>
      <c r="V349" s="155" t="s">
        <v>66</v>
      </c>
      <c r="W349" s="274" t="s">
        <v>127</v>
      </c>
      <c r="X349" s="275">
        <v>7.5</v>
      </c>
      <c r="Y349" s="158">
        <v>1</v>
      </c>
      <c r="Z349" s="186">
        <f>COUNTIF(N338:N368,V349)</f>
        <v>20</v>
      </c>
      <c r="AA349" s="154">
        <f t="shared" si="20"/>
        <v>150</v>
      </c>
      <c r="AB349" s="182">
        <f>AB$19</f>
        <v>0</v>
      </c>
      <c r="AC349" s="183">
        <f t="shared" si="21"/>
        <v>0</v>
      </c>
    </row>
    <row r="350" spans="1:29" ht="13.5">
      <c r="A350" s="28" t="str">
        <f>配置表!L349</f>
        <v/>
      </c>
      <c r="B350" s="9">
        <f>配置表!M349</f>
        <v>46066</v>
      </c>
      <c r="C350" s="10" t="str">
        <f>配置表!N349</f>
        <v>金</v>
      </c>
      <c r="D350" s="63" t="str">
        <f>配置表!O349</f>
        <v>冬　特別展</v>
      </c>
      <c r="E350" s="63" t="str">
        <f>配置表!P349</f>
        <v>テーマ展</v>
      </c>
      <c r="F350" s="45" t="str">
        <f>配置表!Q349</f>
        <v>○</v>
      </c>
      <c r="G350" s="45">
        <f>配置表!R349</f>
        <v>0</v>
      </c>
      <c r="H350" s="33" t="str">
        <f>配置表!S349</f>
        <v/>
      </c>
      <c r="I350" s="10">
        <f>配置表!T349</f>
        <v>0</v>
      </c>
      <c r="J350" s="10" t="str">
        <f>配置表!U349</f>
        <v>●</v>
      </c>
      <c r="K350" s="32">
        <f>配置表!V349</f>
        <v>0</v>
      </c>
      <c r="L350" s="33" t="str">
        <f>配置表!W349</f>
        <v/>
      </c>
      <c r="M350" s="32">
        <f>配置表!X349</f>
        <v>0</v>
      </c>
      <c r="N350" s="33" t="str">
        <f>配置表!Y349</f>
        <v>○</v>
      </c>
      <c r="O350" s="32">
        <f>配置表!Z349</f>
        <v>5</v>
      </c>
      <c r="P350" s="33" t="str">
        <f>配置表!AA349</f>
        <v>○</v>
      </c>
      <c r="Q350" s="227">
        <f>配置表!AB349</f>
        <v>0.41666666666666669</v>
      </c>
      <c r="R350" s="227">
        <f>配置表!AC349</f>
        <v>0.70833333333333337</v>
      </c>
      <c r="S350" s="238" t="str">
        <f>配置表!AD349</f>
        <v/>
      </c>
      <c r="T350" s="63"/>
      <c r="U350" s="152"/>
      <c r="V350" s="155"/>
      <c r="W350" s="155"/>
      <c r="X350" s="153"/>
      <c r="Y350" s="158"/>
      <c r="Z350" s="186">
        <f>COUNTIF(P338:P368,V350)</f>
        <v>0</v>
      </c>
      <c r="AA350" s="154">
        <f t="shared" si="20"/>
        <v>0</v>
      </c>
      <c r="AB350" s="182"/>
      <c r="AC350" s="183">
        <f t="shared" si="21"/>
        <v>0</v>
      </c>
    </row>
    <row r="351" spans="1:29" ht="13.5">
      <c r="A351" s="28" t="str">
        <f>配置表!L350</f>
        <v/>
      </c>
      <c r="B351" s="9">
        <f>配置表!M350</f>
        <v>46067</v>
      </c>
      <c r="C351" s="10" t="str">
        <f>配置表!N350</f>
        <v>土</v>
      </c>
      <c r="D351" s="63" t="str">
        <f>配置表!O350</f>
        <v>冬　特別展</v>
      </c>
      <c r="E351" s="63" t="str">
        <f>配置表!P350</f>
        <v>テーマ展</v>
      </c>
      <c r="F351" s="45" t="str">
        <f>配置表!Q350</f>
        <v>○</v>
      </c>
      <c r="G351" s="45">
        <f>配置表!R350</f>
        <v>0</v>
      </c>
      <c r="H351" s="33" t="str">
        <f>配置表!S350</f>
        <v/>
      </c>
      <c r="I351" s="10">
        <f>配置表!T350</f>
        <v>0</v>
      </c>
      <c r="J351" s="10" t="str">
        <f>配置表!U350</f>
        <v>●</v>
      </c>
      <c r="K351" s="32">
        <f>配置表!V350</f>
        <v>0</v>
      </c>
      <c r="L351" s="33" t="str">
        <f>配置表!W350</f>
        <v>◎</v>
      </c>
      <c r="M351" s="32">
        <f>配置表!X350</f>
        <v>0</v>
      </c>
      <c r="N351" s="33" t="str">
        <f>配置表!Y350</f>
        <v>○</v>
      </c>
      <c r="O351" s="32">
        <f>配置表!Z350</f>
        <v>5</v>
      </c>
      <c r="P351" s="33" t="str">
        <f>配置表!AA350</f>
        <v>○</v>
      </c>
      <c r="Q351" s="227">
        <f>配置表!AB350</f>
        <v>0.41666666666666669</v>
      </c>
      <c r="R351" s="227">
        <f>配置表!AC350</f>
        <v>0.70833333333333337</v>
      </c>
      <c r="S351" s="238" t="str">
        <f>配置表!AD350</f>
        <v/>
      </c>
      <c r="T351" s="63"/>
      <c r="U351" s="152"/>
      <c r="V351" s="155"/>
      <c r="W351" s="274"/>
      <c r="X351" s="275"/>
      <c r="Y351" s="158"/>
      <c r="Z351" s="182">
        <f>COUNTIF(P338:P368,V351)</f>
        <v>0</v>
      </c>
      <c r="AA351" s="154">
        <f t="shared" si="20"/>
        <v>0</v>
      </c>
      <c r="AB351" s="182"/>
      <c r="AC351" s="183">
        <f t="shared" si="21"/>
        <v>0</v>
      </c>
    </row>
    <row r="352" spans="1:29" ht="13.5">
      <c r="A352" s="28" t="str">
        <f>配置表!L351</f>
        <v/>
      </c>
      <c r="B352" s="9">
        <f>配置表!M351</f>
        <v>46068</v>
      </c>
      <c r="C352" s="10" t="str">
        <f>配置表!N351</f>
        <v>日</v>
      </c>
      <c r="D352" s="63" t="str">
        <f>配置表!O351</f>
        <v>冬　特別展</v>
      </c>
      <c r="E352" s="63" t="str">
        <f>配置表!P351</f>
        <v>テーマ展</v>
      </c>
      <c r="F352" s="45" t="str">
        <f>配置表!Q351</f>
        <v>○</v>
      </c>
      <c r="G352" s="45">
        <f>配置表!R351</f>
        <v>0</v>
      </c>
      <c r="H352" s="33" t="str">
        <f>配置表!S351</f>
        <v/>
      </c>
      <c r="I352" s="10">
        <f>配置表!T351</f>
        <v>0</v>
      </c>
      <c r="J352" s="10" t="str">
        <f>配置表!U351</f>
        <v>●</v>
      </c>
      <c r="K352" s="32">
        <f>配置表!V351</f>
        <v>0</v>
      </c>
      <c r="L352" s="33" t="str">
        <f>配置表!W351</f>
        <v>◎</v>
      </c>
      <c r="M352" s="32">
        <f>配置表!X351</f>
        <v>0</v>
      </c>
      <c r="N352" s="33" t="str">
        <f>配置表!Y351</f>
        <v>○</v>
      </c>
      <c r="O352" s="32">
        <f>配置表!Z351</f>
        <v>5</v>
      </c>
      <c r="P352" s="33" t="str">
        <f>配置表!AA351</f>
        <v>○</v>
      </c>
      <c r="Q352" s="227">
        <f>配置表!AB351</f>
        <v>0.41666666666666669</v>
      </c>
      <c r="R352" s="227">
        <f>配置表!AC351</f>
        <v>0.70833333333333337</v>
      </c>
      <c r="S352" s="238" t="str">
        <f>配置表!AD351</f>
        <v/>
      </c>
      <c r="T352" s="63"/>
      <c r="U352" s="152" t="s">
        <v>69</v>
      </c>
      <c r="V352" s="155" t="s">
        <v>66</v>
      </c>
      <c r="W352" s="274" t="s">
        <v>127</v>
      </c>
      <c r="X352" s="275">
        <v>7.5</v>
      </c>
      <c r="Y352" s="158">
        <v>5</v>
      </c>
      <c r="Z352" s="182">
        <f>COUNTIF(P338:P368,V352)</f>
        <v>20</v>
      </c>
      <c r="AA352" s="154">
        <f t="shared" si="20"/>
        <v>750</v>
      </c>
      <c r="AB352" s="182">
        <f>AB$22</f>
        <v>0</v>
      </c>
      <c r="AC352" s="183">
        <f t="shared" si="21"/>
        <v>0</v>
      </c>
    </row>
    <row r="353" spans="1:30" ht="13.5">
      <c r="A353" s="28" t="str">
        <f>配置表!L352</f>
        <v>閉</v>
      </c>
      <c r="B353" s="9">
        <f>配置表!M352</f>
        <v>46069</v>
      </c>
      <c r="C353" s="10" t="str">
        <f>配置表!N352</f>
        <v>月</v>
      </c>
      <c r="D353" s="63" t="str">
        <f>配置表!O352</f>
        <v>冬　特別展</v>
      </c>
      <c r="E353" s="63" t="str">
        <f>配置表!P352</f>
        <v>テーマ展</v>
      </c>
      <c r="F353" s="44" t="str">
        <f>配置表!Q352</f>
        <v>休</v>
      </c>
      <c r="G353" s="32">
        <f>配置表!R352</f>
        <v>0</v>
      </c>
      <c r="H353" s="33" t="str">
        <f>配置表!S352</f>
        <v>休</v>
      </c>
      <c r="I353" s="32">
        <f>配置表!T352</f>
        <v>0</v>
      </c>
      <c r="J353" s="33" t="str">
        <f>配置表!U352</f>
        <v>休</v>
      </c>
      <c r="K353" s="32">
        <f>配置表!V352</f>
        <v>0</v>
      </c>
      <c r="L353" s="33" t="str">
        <f>配置表!W352</f>
        <v>休</v>
      </c>
      <c r="M353" s="32">
        <f>配置表!X352</f>
        <v>0</v>
      </c>
      <c r="N353" s="33" t="str">
        <f>配置表!Y352</f>
        <v>休</v>
      </c>
      <c r="O353" s="32" t="str">
        <f>配置表!Z352</f>
        <v/>
      </c>
      <c r="P353" s="33" t="str">
        <f>配置表!AA352</f>
        <v>休</v>
      </c>
      <c r="Q353" s="227" t="str">
        <f>配置表!AB352</f>
        <v/>
      </c>
      <c r="R353" s="227" t="str">
        <f>配置表!AC352</f>
        <v/>
      </c>
      <c r="S353" s="238" t="str">
        <f>配置表!AD352</f>
        <v/>
      </c>
      <c r="T353" s="63"/>
      <c r="U353" s="187" t="s">
        <v>69</v>
      </c>
      <c r="V353" s="155" t="s">
        <v>75</v>
      </c>
      <c r="W353" s="274" t="s">
        <v>127</v>
      </c>
      <c r="X353" s="275">
        <v>7.5</v>
      </c>
      <c r="Y353" s="158">
        <v>1</v>
      </c>
      <c r="Z353" s="186">
        <f>COUNTIF(P338:P368,V353)+Z354</f>
        <v>0</v>
      </c>
      <c r="AA353" s="154">
        <f t="shared" si="20"/>
        <v>0</v>
      </c>
      <c r="AB353" s="182">
        <f>AB$56</f>
        <v>0</v>
      </c>
      <c r="AC353" s="183">
        <f t="shared" si="21"/>
        <v>0</v>
      </c>
      <c r="AD353" s="1" t="s">
        <v>95</v>
      </c>
    </row>
    <row r="354" spans="1:30" ht="13.5">
      <c r="A354" s="28" t="str">
        <f>配置表!L353</f>
        <v/>
      </c>
      <c r="B354" s="9">
        <f>配置表!M353</f>
        <v>46070</v>
      </c>
      <c r="C354" s="10" t="str">
        <f>配置表!N353</f>
        <v>火</v>
      </c>
      <c r="D354" s="63" t="str">
        <f>配置表!O353</f>
        <v>冬　特別展</v>
      </c>
      <c r="E354" s="63" t="str">
        <f>配置表!P353</f>
        <v>テーマ展</v>
      </c>
      <c r="F354" s="45" t="str">
        <f>配置表!Q353</f>
        <v>○</v>
      </c>
      <c r="G354" s="45">
        <f>配置表!R353</f>
        <v>0</v>
      </c>
      <c r="H354" s="33" t="str">
        <f>配置表!S353</f>
        <v/>
      </c>
      <c r="I354" s="10">
        <f>配置表!T353</f>
        <v>0</v>
      </c>
      <c r="J354" s="10" t="str">
        <f>配置表!U353</f>
        <v>●</v>
      </c>
      <c r="K354" s="32">
        <f>配置表!V353</f>
        <v>0</v>
      </c>
      <c r="L354" s="33" t="str">
        <f>配置表!W353</f>
        <v/>
      </c>
      <c r="M354" s="32">
        <f>配置表!X353</f>
        <v>0</v>
      </c>
      <c r="N354" s="33" t="str">
        <f>配置表!Y353</f>
        <v>○</v>
      </c>
      <c r="O354" s="32">
        <f>配置表!Z353</f>
        <v>5</v>
      </c>
      <c r="P354" s="33" t="str">
        <f>配置表!AA353</f>
        <v>○</v>
      </c>
      <c r="Q354" s="227">
        <f>配置表!AB353</f>
        <v>0.41666666666666669</v>
      </c>
      <c r="R354" s="227">
        <f>配置表!AC353</f>
        <v>0.70833333333333337</v>
      </c>
      <c r="S354" s="238" t="str">
        <f>配置表!AD353</f>
        <v/>
      </c>
      <c r="T354" s="63"/>
      <c r="U354" s="152" t="s">
        <v>69</v>
      </c>
      <c r="V354" s="155" t="s">
        <v>93</v>
      </c>
      <c r="W354" s="155" t="s">
        <v>154</v>
      </c>
      <c r="X354" s="191">
        <v>2.75</v>
      </c>
      <c r="Y354" s="158">
        <v>4</v>
      </c>
      <c r="Z354" s="186">
        <f>COUNTIF(P338:P368,V354)</f>
        <v>0</v>
      </c>
      <c r="AA354" s="154">
        <f t="shared" si="20"/>
        <v>0</v>
      </c>
      <c r="AB354" s="182"/>
      <c r="AC354" s="183">
        <f t="shared" si="21"/>
        <v>0</v>
      </c>
    </row>
    <row r="355" spans="1:30" ht="13.5">
      <c r="A355" s="28" t="str">
        <f>配置表!L354</f>
        <v/>
      </c>
      <c r="B355" s="9">
        <f>配置表!M354</f>
        <v>46071</v>
      </c>
      <c r="C355" s="10" t="str">
        <f>配置表!N354</f>
        <v>水</v>
      </c>
      <c r="D355" s="63" t="str">
        <f>配置表!O354</f>
        <v>冬　特別展</v>
      </c>
      <c r="E355" s="63" t="str">
        <f>配置表!P354</f>
        <v>テーマ展</v>
      </c>
      <c r="F355" s="45" t="str">
        <f>配置表!Q354</f>
        <v>○</v>
      </c>
      <c r="G355" s="45">
        <f>配置表!R354</f>
        <v>0</v>
      </c>
      <c r="H355" s="33" t="str">
        <f>配置表!S354</f>
        <v/>
      </c>
      <c r="I355" s="10">
        <f>配置表!T354</f>
        <v>0</v>
      </c>
      <c r="J355" s="10" t="str">
        <f>配置表!U354</f>
        <v>●</v>
      </c>
      <c r="K355" s="32">
        <f>配置表!V354</f>
        <v>0</v>
      </c>
      <c r="L355" s="33" t="str">
        <f>配置表!W354</f>
        <v/>
      </c>
      <c r="M355" s="32">
        <f>配置表!X354</f>
        <v>0</v>
      </c>
      <c r="N355" s="33" t="str">
        <f>配置表!Y354</f>
        <v>○</v>
      </c>
      <c r="O355" s="32">
        <f>配置表!Z354</f>
        <v>5</v>
      </c>
      <c r="P355" s="33" t="str">
        <f>配置表!AA354</f>
        <v>○</v>
      </c>
      <c r="Q355" s="227">
        <f>配置表!AB354</f>
        <v>0.41666666666666669</v>
      </c>
      <c r="R355" s="227">
        <f>配置表!AC354</f>
        <v>0.70833333333333337</v>
      </c>
      <c r="S355" s="238" t="str">
        <f>配置表!AD354</f>
        <v/>
      </c>
      <c r="T355" s="63"/>
      <c r="U355" s="159" t="s">
        <v>64</v>
      </c>
      <c r="V355" s="160"/>
      <c r="W355" s="160"/>
      <c r="X355" s="188"/>
      <c r="Y355" s="188"/>
      <c r="Z355" s="189">
        <f>SUM(Z338:Z354)</f>
        <v>89</v>
      </c>
      <c r="AA355" s="190">
        <f>SUM(AA338:AA354)</f>
        <v>1250</v>
      </c>
      <c r="AB355" s="182"/>
      <c r="AC355" s="183">
        <f>SUM(AC338:AC354)</f>
        <v>0</v>
      </c>
    </row>
    <row r="356" spans="1:30" ht="14.25" thickBot="1">
      <c r="A356" s="28" t="str">
        <f>配置表!L355</f>
        <v/>
      </c>
      <c r="B356" s="9">
        <f>配置表!M355</f>
        <v>46072</v>
      </c>
      <c r="C356" s="10" t="str">
        <f>配置表!N355</f>
        <v>木</v>
      </c>
      <c r="D356" s="63" t="str">
        <f>配置表!O355</f>
        <v>冬　特別展</v>
      </c>
      <c r="E356" s="63" t="str">
        <f>配置表!P355</f>
        <v>テーマ展</v>
      </c>
      <c r="F356" s="45" t="str">
        <f>配置表!Q355</f>
        <v>○</v>
      </c>
      <c r="G356" s="45">
        <f>配置表!R355</f>
        <v>0</v>
      </c>
      <c r="H356" s="33" t="str">
        <f>配置表!S355</f>
        <v/>
      </c>
      <c r="I356" s="10">
        <f>配置表!T355</f>
        <v>0</v>
      </c>
      <c r="J356" s="10" t="str">
        <f>配置表!U355</f>
        <v>●</v>
      </c>
      <c r="K356" s="32">
        <f>配置表!V355</f>
        <v>0</v>
      </c>
      <c r="L356" s="33" t="str">
        <f>配置表!W355</f>
        <v/>
      </c>
      <c r="M356" s="32">
        <f>配置表!X355</f>
        <v>0</v>
      </c>
      <c r="N356" s="33" t="str">
        <f>配置表!Y355</f>
        <v>○</v>
      </c>
      <c r="O356" s="32">
        <f>配置表!Z355</f>
        <v>5</v>
      </c>
      <c r="P356" s="33" t="str">
        <f>配置表!AA355</f>
        <v>○</v>
      </c>
      <c r="Q356" s="227">
        <f>配置表!AB355</f>
        <v>0.41666666666666669</v>
      </c>
      <c r="R356" s="227">
        <f>配置表!AC355</f>
        <v>0.70833333333333337</v>
      </c>
      <c r="S356" s="238" t="str">
        <f>配置表!AD355</f>
        <v/>
      </c>
      <c r="T356" s="63"/>
      <c r="U356" s="178" t="s">
        <v>65</v>
      </c>
      <c r="V356" s="179"/>
      <c r="W356" s="179"/>
      <c r="X356" s="180"/>
      <c r="Y356" s="180"/>
      <c r="Z356" s="180"/>
      <c r="AA356" s="170"/>
      <c r="AB356" s="184"/>
      <c r="AC356" s="185">
        <f>ROUNDDOWN(AC355*1.1,0)</f>
        <v>0</v>
      </c>
    </row>
    <row r="357" spans="1:30">
      <c r="A357" s="28" t="str">
        <f>配置表!L356</f>
        <v/>
      </c>
      <c r="B357" s="9">
        <f>配置表!M356</f>
        <v>46073</v>
      </c>
      <c r="C357" s="10" t="str">
        <f>配置表!N356</f>
        <v>金</v>
      </c>
      <c r="D357" s="63" t="str">
        <f>配置表!O356</f>
        <v>冬　特別展</v>
      </c>
      <c r="E357" s="63" t="str">
        <f>配置表!P356</f>
        <v>テーマ展</v>
      </c>
      <c r="F357" s="45" t="str">
        <f>配置表!Q356</f>
        <v>○</v>
      </c>
      <c r="G357" s="45">
        <f>配置表!R356</f>
        <v>0</v>
      </c>
      <c r="H357" s="33" t="str">
        <f>配置表!S356</f>
        <v/>
      </c>
      <c r="I357" s="10">
        <f>配置表!T356</f>
        <v>0</v>
      </c>
      <c r="J357" s="10" t="str">
        <f>配置表!U356</f>
        <v>●</v>
      </c>
      <c r="K357" s="32">
        <f>配置表!V356</f>
        <v>0</v>
      </c>
      <c r="L357" s="33" t="str">
        <f>配置表!W356</f>
        <v/>
      </c>
      <c r="M357" s="32">
        <f>配置表!X356</f>
        <v>0</v>
      </c>
      <c r="N357" s="33" t="str">
        <f>配置表!Y356</f>
        <v>○</v>
      </c>
      <c r="O357" s="32">
        <f>配置表!Z356</f>
        <v>5</v>
      </c>
      <c r="P357" s="33" t="str">
        <f>配置表!AA356</f>
        <v>○</v>
      </c>
      <c r="Q357" s="227">
        <f>配置表!AB356</f>
        <v>0.41666666666666669</v>
      </c>
      <c r="R357" s="227">
        <f>配置表!AC356</f>
        <v>0.70833333333333337</v>
      </c>
      <c r="S357" s="238" t="str">
        <f>配置表!AD356</f>
        <v/>
      </c>
      <c r="T357" s="63"/>
    </row>
    <row r="358" spans="1:30">
      <c r="A358" s="28" t="str">
        <f>配置表!L357</f>
        <v/>
      </c>
      <c r="B358" s="9">
        <f>配置表!M357</f>
        <v>46074</v>
      </c>
      <c r="C358" s="10" t="str">
        <f>配置表!N357</f>
        <v>土</v>
      </c>
      <c r="D358" s="63" t="str">
        <f>配置表!O357</f>
        <v>冬　特別展</v>
      </c>
      <c r="E358" s="63" t="str">
        <f>配置表!P357</f>
        <v>テーマ展</v>
      </c>
      <c r="F358" s="45" t="str">
        <f>配置表!Q357</f>
        <v>○</v>
      </c>
      <c r="G358" s="45">
        <f>配置表!R357</f>
        <v>0</v>
      </c>
      <c r="H358" s="33" t="str">
        <f>配置表!S357</f>
        <v/>
      </c>
      <c r="I358" s="10">
        <f>配置表!T357</f>
        <v>0</v>
      </c>
      <c r="J358" s="10" t="str">
        <f>配置表!U357</f>
        <v>●</v>
      </c>
      <c r="K358" s="32">
        <f>配置表!V357</f>
        <v>0</v>
      </c>
      <c r="L358" s="33" t="str">
        <f>配置表!W357</f>
        <v>◎</v>
      </c>
      <c r="M358" s="32">
        <f>配置表!X357</f>
        <v>0</v>
      </c>
      <c r="N358" s="33" t="str">
        <f>配置表!Y357</f>
        <v>○</v>
      </c>
      <c r="O358" s="32">
        <f>配置表!Z357</f>
        <v>5</v>
      </c>
      <c r="P358" s="33" t="str">
        <f>配置表!AA357</f>
        <v>○</v>
      </c>
      <c r="Q358" s="227">
        <f>配置表!AB357</f>
        <v>0.41666666666666669</v>
      </c>
      <c r="R358" s="227">
        <f>配置表!AC357</f>
        <v>0.70833333333333337</v>
      </c>
      <c r="S358" s="238" t="str">
        <f>配置表!AD357</f>
        <v/>
      </c>
      <c r="T358" s="63"/>
    </row>
    <row r="359" spans="1:30">
      <c r="A359" s="28" t="str">
        <f>配置表!L358</f>
        <v/>
      </c>
      <c r="B359" s="9">
        <f>配置表!M358</f>
        <v>46075</v>
      </c>
      <c r="C359" s="10" t="str">
        <f>配置表!N358</f>
        <v>日</v>
      </c>
      <c r="D359" s="63" t="str">
        <f>配置表!O358</f>
        <v>冬　特別展</v>
      </c>
      <c r="E359" s="63" t="str">
        <f>配置表!P358</f>
        <v>テーマ展</v>
      </c>
      <c r="F359" s="45" t="str">
        <f>配置表!Q358</f>
        <v>○</v>
      </c>
      <c r="G359" s="45">
        <f>配置表!R358</f>
        <v>0</v>
      </c>
      <c r="H359" s="33" t="str">
        <f>配置表!S358</f>
        <v/>
      </c>
      <c r="I359" s="10">
        <f>配置表!T358</f>
        <v>0</v>
      </c>
      <c r="J359" s="10" t="str">
        <f>配置表!U358</f>
        <v>●</v>
      </c>
      <c r="K359" s="32">
        <f>配置表!V358</f>
        <v>0</v>
      </c>
      <c r="L359" s="33" t="str">
        <f>配置表!W358</f>
        <v>◎</v>
      </c>
      <c r="M359" s="32">
        <f>配置表!X358</f>
        <v>0</v>
      </c>
      <c r="N359" s="33" t="str">
        <f>配置表!Y358</f>
        <v>○</v>
      </c>
      <c r="O359" s="32">
        <f>配置表!Z358</f>
        <v>5</v>
      </c>
      <c r="P359" s="33" t="str">
        <f>配置表!AA358</f>
        <v>○</v>
      </c>
      <c r="Q359" s="227">
        <f>配置表!AB358</f>
        <v>0.41666666666666669</v>
      </c>
      <c r="R359" s="227">
        <f>配置表!AC358</f>
        <v>0.70833333333333337</v>
      </c>
      <c r="S359" s="238" t="str">
        <f>配置表!AD358</f>
        <v/>
      </c>
      <c r="T359" s="63"/>
    </row>
    <row r="360" spans="1:30">
      <c r="A360" s="28" t="str">
        <f>配置表!L359</f>
        <v/>
      </c>
      <c r="B360" s="9">
        <f>配置表!M359</f>
        <v>46076</v>
      </c>
      <c r="C360" s="10" t="str">
        <f>配置表!N359</f>
        <v>月</v>
      </c>
      <c r="D360" s="63" t="str">
        <f>配置表!O359</f>
        <v>冬　特別展</v>
      </c>
      <c r="E360" s="63" t="str">
        <f>配置表!P359</f>
        <v>テーマ展</v>
      </c>
      <c r="F360" s="44" t="str">
        <f>配置表!Q359</f>
        <v>○</v>
      </c>
      <c r="G360" s="32">
        <f>配置表!R359</f>
        <v>0</v>
      </c>
      <c r="H360" s="33" t="str">
        <f>配置表!S359</f>
        <v/>
      </c>
      <c r="I360" s="32">
        <f>配置表!T359</f>
        <v>0</v>
      </c>
      <c r="J360" s="33" t="str">
        <f>配置表!U359</f>
        <v>●</v>
      </c>
      <c r="K360" s="32">
        <f>配置表!V359</f>
        <v>0</v>
      </c>
      <c r="L360" s="33" t="str">
        <f>配置表!W359</f>
        <v>◎</v>
      </c>
      <c r="M360" s="32">
        <f>配置表!X359</f>
        <v>0</v>
      </c>
      <c r="N360" s="33" t="str">
        <f>配置表!Y359</f>
        <v>○</v>
      </c>
      <c r="O360" s="32">
        <f>配置表!Z359</f>
        <v>5</v>
      </c>
      <c r="P360" s="33" t="str">
        <f>配置表!AA359</f>
        <v>○</v>
      </c>
      <c r="Q360" s="227">
        <f>配置表!AB359</f>
        <v>0.41666666666666669</v>
      </c>
      <c r="R360" s="227">
        <f>配置表!AC359</f>
        <v>0.70833333333333337</v>
      </c>
      <c r="S360" s="238" t="str">
        <f>配置表!AD359</f>
        <v>天皇誕生日</v>
      </c>
      <c r="T360" s="63"/>
    </row>
    <row r="361" spans="1:30">
      <c r="A361" s="28" t="str">
        <f>配置表!L360</f>
        <v>閉</v>
      </c>
      <c r="B361" s="9">
        <f>配置表!M360</f>
        <v>46077</v>
      </c>
      <c r="C361" s="10" t="str">
        <f>配置表!N360</f>
        <v>火</v>
      </c>
      <c r="D361" s="63" t="str">
        <f>配置表!O360</f>
        <v/>
      </c>
      <c r="E361" s="63" t="str">
        <f>配置表!P360</f>
        <v/>
      </c>
      <c r="F361" s="45" t="str">
        <f>配置表!Q360</f>
        <v>休</v>
      </c>
      <c r="G361" s="45">
        <f>配置表!R360</f>
        <v>0</v>
      </c>
      <c r="H361" s="33" t="str">
        <f>配置表!S360</f>
        <v>休</v>
      </c>
      <c r="I361" s="10">
        <f>配置表!T360</f>
        <v>0</v>
      </c>
      <c r="J361" s="10" t="str">
        <f>配置表!U360</f>
        <v>休</v>
      </c>
      <c r="K361" s="32">
        <f>配置表!V360</f>
        <v>0</v>
      </c>
      <c r="L361" s="33" t="str">
        <f>配置表!W360</f>
        <v>休</v>
      </c>
      <c r="M361" s="32">
        <f>配置表!X360</f>
        <v>0</v>
      </c>
      <c r="N361" s="33" t="str">
        <f>配置表!Y360</f>
        <v>休</v>
      </c>
      <c r="O361" s="32" t="str">
        <f>配置表!Z360</f>
        <v/>
      </c>
      <c r="P361" s="33" t="str">
        <f>配置表!AA360</f>
        <v>休</v>
      </c>
      <c r="Q361" s="227" t="str">
        <f>配置表!AB360</f>
        <v/>
      </c>
      <c r="R361" s="227" t="str">
        <f>配置表!AC360</f>
        <v/>
      </c>
      <c r="S361" s="238" t="str">
        <f>配置表!AD360</f>
        <v/>
      </c>
      <c r="T361" s="63"/>
    </row>
    <row r="362" spans="1:30">
      <c r="A362" s="28" t="str">
        <f>配置表!L361</f>
        <v>閉</v>
      </c>
      <c r="B362" s="9">
        <f>配置表!M361</f>
        <v>46078</v>
      </c>
      <c r="C362" s="10" t="str">
        <f>配置表!N361</f>
        <v>水</v>
      </c>
      <c r="D362" s="63" t="str">
        <f>配置表!O361</f>
        <v/>
      </c>
      <c r="E362" s="63" t="str">
        <f>配置表!P361</f>
        <v/>
      </c>
      <c r="F362" s="45" t="str">
        <f>配置表!Q361</f>
        <v>休</v>
      </c>
      <c r="G362" s="45">
        <f>配置表!R361</f>
        <v>0</v>
      </c>
      <c r="H362" s="33" t="str">
        <f>配置表!S361</f>
        <v>休</v>
      </c>
      <c r="I362" s="10">
        <f>配置表!T361</f>
        <v>0</v>
      </c>
      <c r="J362" s="10" t="str">
        <f>配置表!U361</f>
        <v>休</v>
      </c>
      <c r="K362" s="32">
        <f>配置表!V361</f>
        <v>0</v>
      </c>
      <c r="L362" s="33" t="str">
        <f>配置表!W361</f>
        <v>休</v>
      </c>
      <c r="M362" s="32">
        <f>配置表!X361</f>
        <v>0</v>
      </c>
      <c r="N362" s="33" t="str">
        <f>配置表!Y361</f>
        <v>休</v>
      </c>
      <c r="O362" s="32" t="str">
        <f>配置表!Z361</f>
        <v/>
      </c>
      <c r="P362" s="33" t="str">
        <f>配置表!AA361</f>
        <v>休</v>
      </c>
      <c r="Q362" s="227">
        <f>配置表!AB361</f>
        <v>0.41666666666666669</v>
      </c>
      <c r="R362" s="227">
        <f>配置表!AC361</f>
        <v>0.70833333333333337</v>
      </c>
      <c r="S362" s="238" t="str">
        <f>配置表!AD361</f>
        <v/>
      </c>
      <c r="T362" s="63"/>
    </row>
    <row r="363" spans="1:30">
      <c r="A363" s="28" t="str">
        <f>配置表!L362</f>
        <v>閉</v>
      </c>
      <c r="B363" s="9">
        <f>配置表!M362</f>
        <v>46079</v>
      </c>
      <c r="C363" s="10" t="str">
        <f>配置表!N362</f>
        <v>木</v>
      </c>
      <c r="D363" s="63" t="str">
        <f>配置表!O362</f>
        <v/>
      </c>
      <c r="E363" s="63" t="str">
        <f>配置表!P362</f>
        <v/>
      </c>
      <c r="F363" s="45" t="str">
        <f>配置表!Q362</f>
        <v>休</v>
      </c>
      <c r="G363" s="45">
        <f>配置表!R362</f>
        <v>0</v>
      </c>
      <c r="H363" s="33" t="str">
        <f>配置表!S362</f>
        <v>休</v>
      </c>
      <c r="I363" s="10">
        <f>配置表!T362</f>
        <v>0</v>
      </c>
      <c r="J363" s="10" t="str">
        <f>配置表!U362</f>
        <v>休</v>
      </c>
      <c r="K363" s="32">
        <f>配置表!V362</f>
        <v>0</v>
      </c>
      <c r="L363" s="33" t="str">
        <f>配置表!W362</f>
        <v>休</v>
      </c>
      <c r="M363" s="32">
        <f>配置表!X362</f>
        <v>0</v>
      </c>
      <c r="N363" s="33" t="str">
        <f>配置表!Y362</f>
        <v>休</v>
      </c>
      <c r="O363" s="32" t="str">
        <f>配置表!Z362</f>
        <v/>
      </c>
      <c r="P363" s="33" t="str">
        <f>配置表!AA362</f>
        <v>休</v>
      </c>
      <c r="Q363" s="227">
        <f>配置表!AB362</f>
        <v>0.41666666666666669</v>
      </c>
      <c r="R363" s="227">
        <f>配置表!AC362</f>
        <v>0.70833333333333337</v>
      </c>
      <c r="S363" s="238" t="str">
        <f>配置表!AD362</f>
        <v/>
      </c>
      <c r="T363" s="63"/>
    </row>
    <row r="364" spans="1:30">
      <c r="A364" s="28" t="str">
        <f>配置表!L363</f>
        <v>閉</v>
      </c>
      <c r="B364" s="9">
        <f>配置表!M363</f>
        <v>46080</v>
      </c>
      <c r="C364" s="10" t="str">
        <f>配置表!N363</f>
        <v>金</v>
      </c>
      <c r="D364" s="63" t="str">
        <f>配置表!O363</f>
        <v/>
      </c>
      <c r="E364" s="63" t="str">
        <f>配置表!P363</f>
        <v/>
      </c>
      <c r="F364" s="45" t="str">
        <f>配置表!Q363</f>
        <v>休</v>
      </c>
      <c r="G364" s="45">
        <f>配置表!R363</f>
        <v>0</v>
      </c>
      <c r="H364" s="33" t="str">
        <f>配置表!S363</f>
        <v>休</v>
      </c>
      <c r="I364" s="10">
        <f>配置表!T363</f>
        <v>0</v>
      </c>
      <c r="J364" s="10" t="str">
        <f>配置表!U363</f>
        <v>休</v>
      </c>
      <c r="K364" s="32">
        <f>配置表!V363</f>
        <v>0</v>
      </c>
      <c r="L364" s="33" t="str">
        <f>配置表!W363</f>
        <v>休</v>
      </c>
      <c r="M364" s="32">
        <f>配置表!X363</f>
        <v>0</v>
      </c>
      <c r="N364" s="33" t="str">
        <f>配置表!Y363</f>
        <v>休</v>
      </c>
      <c r="O364" s="32" t="str">
        <f>配置表!Z363</f>
        <v/>
      </c>
      <c r="P364" s="33" t="str">
        <f>配置表!AA363</f>
        <v>休</v>
      </c>
      <c r="Q364" s="227">
        <f>配置表!AB363</f>
        <v>0.41666666666666669</v>
      </c>
      <c r="R364" s="227">
        <f>配置表!AC363</f>
        <v>0.70833333333333337</v>
      </c>
      <c r="S364" s="238" t="str">
        <f>配置表!AD363</f>
        <v/>
      </c>
      <c r="T364" s="63"/>
    </row>
    <row r="365" spans="1:30">
      <c r="A365" s="28" t="str">
        <f>配置表!L364</f>
        <v>閉</v>
      </c>
      <c r="B365" s="9">
        <f>配置表!M364</f>
        <v>46081</v>
      </c>
      <c r="C365" s="10" t="str">
        <f>配置表!N364</f>
        <v>土</v>
      </c>
      <c r="D365" s="63" t="str">
        <f>配置表!O364</f>
        <v/>
      </c>
      <c r="E365" s="63" t="str">
        <f>配置表!P364</f>
        <v/>
      </c>
      <c r="F365" s="45" t="str">
        <f>配置表!Q364</f>
        <v>休</v>
      </c>
      <c r="G365" s="45">
        <f>配置表!R364</f>
        <v>0</v>
      </c>
      <c r="H365" s="33" t="str">
        <f>配置表!S364</f>
        <v>休</v>
      </c>
      <c r="I365" s="10">
        <f>配置表!T364</f>
        <v>0</v>
      </c>
      <c r="J365" s="10" t="str">
        <f>配置表!U364</f>
        <v>休</v>
      </c>
      <c r="K365" s="32">
        <f>配置表!V364</f>
        <v>0</v>
      </c>
      <c r="L365" s="33" t="str">
        <f>配置表!W364</f>
        <v>休</v>
      </c>
      <c r="M365" s="32">
        <f>配置表!X364</f>
        <v>0</v>
      </c>
      <c r="N365" s="33" t="str">
        <f>配置表!Y364</f>
        <v>休</v>
      </c>
      <c r="O365" s="32" t="str">
        <f>配置表!Z364</f>
        <v/>
      </c>
      <c r="P365" s="33" t="str">
        <f>配置表!AA364</f>
        <v>休</v>
      </c>
      <c r="Q365" s="227">
        <f>配置表!AB364</f>
        <v>0.41666666666666669</v>
      </c>
      <c r="R365" s="227">
        <f>配置表!AC364</f>
        <v>0.70833333333333337</v>
      </c>
      <c r="S365" s="238" t="str">
        <f>配置表!AD364</f>
        <v/>
      </c>
      <c r="T365" s="63"/>
    </row>
    <row r="366" spans="1:30" ht="12" thickBot="1">
      <c r="A366" s="28" t="str">
        <f>配置表!L365</f>
        <v/>
      </c>
      <c r="B366" s="29" t="str">
        <f>配置表!M365</f>
        <v/>
      </c>
      <c r="C366" s="22" t="str">
        <f>配置表!N365</f>
        <v/>
      </c>
      <c r="D366" s="65" t="str">
        <f>配置表!O365</f>
        <v/>
      </c>
      <c r="E366" s="65" t="str">
        <f>配置表!P365</f>
        <v/>
      </c>
      <c r="F366" s="41" t="str">
        <f>配置表!Q365</f>
        <v/>
      </c>
      <c r="G366" s="41">
        <f>配置表!R365</f>
        <v>0</v>
      </c>
      <c r="H366" s="34" t="str">
        <f>配置表!S365</f>
        <v/>
      </c>
      <c r="I366" s="22">
        <f>配置表!T365</f>
        <v>0</v>
      </c>
      <c r="J366" s="22" t="str">
        <f>配置表!U365</f>
        <v/>
      </c>
      <c r="K366" s="23">
        <f>配置表!V365</f>
        <v>0</v>
      </c>
      <c r="L366" s="34" t="str">
        <f>配置表!W365</f>
        <v/>
      </c>
      <c r="M366" s="23">
        <f>配置表!X365</f>
        <v>0</v>
      </c>
      <c r="N366" s="34" t="str">
        <f>配置表!Y365</f>
        <v/>
      </c>
      <c r="O366" s="23" t="str">
        <f>配置表!Z365</f>
        <v/>
      </c>
      <c r="P366" s="34" t="str">
        <f>配置表!AA365</f>
        <v/>
      </c>
      <c r="Q366" s="233" t="str">
        <f>配置表!AB365</f>
        <v/>
      </c>
      <c r="R366" s="233" t="str">
        <f>配置表!AC365</f>
        <v/>
      </c>
      <c r="S366" s="239" t="str">
        <f>配置表!AD365</f>
        <v/>
      </c>
      <c r="T366" s="63"/>
    </row>
    <row r="367" spans="1:30" ht="12" thickBot="1">
      <c r="A367" s="28"/>
      <c r="B367" s="161"/>
      <c r="C367" s="24"/>
      <c r="D367" s="70"/>
      <c r="E367" s="70"/>
      <c r="F367" s="24">
        <f>COUNTIF(F338:F366,"○")</f>
        <v>20</v>
      </c>
      <c r="G367" s="10"/>
      <c r="H367" s="10"/>
      <c r="I367" s="10"/>
      <c r="J367" s="10"/>
      <c r="K367" s="8"/>
      <c r="L367" s="10"/>
      <c r="M367" s="8"/>
      <c r="N367" s="10"/>
      <c r="O367" s="8"/>
      <c r="P367" s="10"/>
      <c r="Q367" s="63"/>
      <c r="R367" s="63"/>
      <c r="S367" s="63"/>
      <c r="T367" s="63"/>
    </row>
    <row r="368" spans="1:30" customFormat="1" ht="27.75" customHeight="1" thickBot="1">
      <c r="A368" s="28"/>
      <c r="B368" s="58"/>
      <c r="C368" s="59"/>
      <c r="D368" s="42" t="s">
        <v>5</v>
      </c>
      <c r="E368" s="42" t="s">
        <v>6</v>
      </c>
      <c r="F368" s="49" t="s">
        <v>8</v>
      </c>
      <c r="G368" s="354" t="s">
        <v>13</v>
      </c>
      <c r="H368" s="355"/>
      <c r="I368" s="354" t="s">
        <v>14</v>
      </c>
      <c r="J368" s="356"/>
      <c r="K368" s="354" t="s">
        <v>9</v>
      </c>
      <c r="L368" s="355"/>
      <c r="M368" s="354" t="s">
        <v>10</v>
      </c>
      <c r="N368" s="355"/>
      <c r="O368" s="354" t="s">
        <v>1</v>
      </c>
      <c r="P368" s="355"/>
      <c r="Q368" s="38" t="s">
        <v>114</v>
      </c>
      <c r="R368" s="38" t="s">
        <v>35</v>
      </c>
      <c r="S368" s="38" t="s">
        <v>116</v>
      </c>
      <c r="T368" s="137"/>
      <c r="U368" s="149" t="s">
        <v>85</v>
      </c>
      <c r="V368" s="156"/>
      <c r="W368" s="156" t="s">
        <v>74</v>
      </c>
      <c r="X368" s="175" t="s">
        <v>60</v>
      </c>
      <c r="Y368" s="175" t="s">
        <v>70</v>
      </c>
      <c r="Z368" s="150" t="s">
        <v>71</v>
      </c>
      <c r="AA368" s="150" t="s">
        <v>61</v>
      </c>
      <c r="AB368" s="150" t="s">
        <v>62</v>
      </c>
      <c r="AC368" s="151" t="s">
        <v>63</v>
      </c>
    </row>
    <row r="369" spans="1:30" ht="13.5">
      <c r="A369" s="28" t="str">
        <f>配置表!L368</f>
        <v>閉</v>
      </c>
      <c r="B369" s="25">
        <f>配置表!M368</f>
        <v>46082</v>
      </c>
      <c r="C369" s="24" t="str">
        <f>配置表!N368</f>
        <v>日</v>
      </c>
      <c r="D369" s="70" t="str">
        <f>配置表!O368</f>
        <v/>
      </c>
      <c r="E369" s="70" t="str">
        <f>配置表!P368</f>
        <v/>
      </c>
      <c r="F369" s="46" t="str">
        <f>配置表!Q368</f>
        <v>休</v>
      </c>
      <c r="G369" s="46">
        <f>配置表!R368</f>
        <v>0</v>
      </c>
      <c r="H369" s="47" t="str">
        <f>配置表!S368</f>
        <v>休</v>
      </c>
      <c r="I369" s="24">
        <f>配置表!T368</f>
        <v>0</v>
      </c>
      <c r="J369" s="24" t="str">
        <f>配置表!U368</f>
        <v>休</v>
      </c>
      <c r="K369" s="35">
        <f>配置表!V368</f>
        <v>0</v>
      </c>
      <c r="L369" s="47" t="str">
        <f>配置表!W368</f>
        <v>休</v>
      </c>
      <c r="M369" s="35">
        <f>配置表!X368</f>
        <v>0</v>
      </c>
      <c r="N369" s="47" t="str">
        <f>配置表!Y368</f>
        <v>休</v>
      </c>
      <c r="O369" s="35" t="str">
        <f>配置表!Z368</f>
        <v/>
      </c>
      <c r="P369" s="47" t="str">
        <f>配置表!AA368</f>
        <v>休</v>
      </c>
      <c r="Q369" s="232">
        <f>配置表!AB368</f>
        <v>0.41666666666666669</v>
      </c>
      <c r="R369" s="232">
        <f>配置表!AC368</f>
        <v>0.70833333333333337</v>
      </c>
      <c r="S369" s="237" t="str">
        <f>配置表!AD368</f>
        <v/>
      </c>
      <c r="T369" s="137"/>
      <c r="U369" s="173" t="s">
        <v>88</v>
      </c>
      <c r="V369" s="156"/>
      <c r="W369" s="156"/>
      <c r="X369" s="176"/>
      <c r="Y369" s="177"/>
      <c r="Z369" s="181">
        <f>COUNTIF(F369:F399,V369)</f>
        <v>0</v>
      </c>
      <c r="AA369" s="174">
        <f>X369*Y369*Z369</f>
        <v>0</v>
      </c>
      <c r="AB369" s="181"/>
      <c r="AC369" s="315">
        <f>SUM(AA369*AB369)</f>
        <v>0</v>
      </c>
    </row>
    <row r="370" spans="1:30" ht="13.5">
      <c r="A370" s="28" t="str">
        <f>配置表!L369</f>
        <v>閉</v>
      </c>
      <c r="B370" s="9">
        <f>配置表!M369</f>
        <v>46083</v>
      </c>
      <c r="C370" s="10" t="str">
        <f>配置表!N369</f>
        <v>月</v>
      </c>
      <c r="D370" s="63" t="str">
        <f>配置表!O369</f>
        <v/>
      </c>
      <c r="E370" s="63" t="str">
        <f>配置表!P369</f>
        <v/>
      </c>
      <c r="F370" s="44" t="str">
        <f>配置表!Q369</f>
        <v>休</v>
      </c>
      <c r="G370" s="10">
        <f>配置表!R369</f>
        <v>0</v>
      </c>
      <c r="H370" s="10" t="str">
        <f>配置表!S369</f>
        <v>休</v>
      </c>
      <c r="I370" s="45">
        <f>配置表!T369</f>
        <v>0</v>
      </c>
      <c r="J370" s="10" t="str">
        <f>配置表!U369</f>
        <v>休</v>
      </c>
      <c r="K370" s="32">
        <f>配置表!V369</f>
        <v>0</v>
      </c>
      <c r="L370" s="33" t="str">
        <f>配置表!W369</f>
        <v>休</v>
      </c>
      <c r="M370" s="8">
        <f>配置表!X369</f>
        <v>0</v>
      </c>
      <c r="N370" s="33" t="str">
        <f>配置表!Y369</f>
        <v>休</v>
      </c>
      <c r="O370" s="8" t="str">
        <f>配置表!Z369</f>
        <v/>
      </c>
      <c r="P370" s="33" t="str">
        <f>配置表!AA369</f>
        <v>休</v>
      </c>
      <c r="Q370" s="227" t="str">
        <f>配置表!AB369</f>
        <v/>
      </c>
      <c r="R370" s="227" t="str">
        <f>配置表!AC369</f>
        <v/>
      </c>
      <c r="S370" s="238" t="str">
        <f>配置表!AD369</f>
        <v/>
      </c>
      <c r="T370" s="63"/>
      <c r="U370" s="152" t="s">
        <v>88</v>
      </c>
      <c r="V370" s="155" t="s">
        <v>66</v>
      </c>
      <c r="W370" s="274" t="s">
        <v>126</v>
      </c>
      <c r="X370" s="275">
        <v>8.5</v>
      </c>
      <c r="Y370" s="158">
        <v>1</v>
      </c>
      <c r="Z370" s="182">
        <f>COUNTIF(F369:F399,V370)</f>
        <v>19</v>
      </c>
      <c r="AA370" s="154">
        <f t="shared" ref="AA370:AA385" si="22">X370*Y370*Z370</f>
        <v>161.5</v>
      </c>
      <c r="AB370" s="182">
        <f>AB$9</f>
        <v>0</v>
      </c>
      <c r="AC370" s="183">
        <f t="shared" ref="AC370:AC385" si="23">SUM(AA370*AB370)</f>
        <v>0</v>
      </c>
    </row>
    <row r="371" spans="1:30" ht="13.5">
      <c r="A371" s="28" t="str">
        <f>配置表!L370</f>
        <v>閉</v>
      </c>
      <c r="B371" s="9">
        <f>配置表!M370</f>
        <v>46084</v>
      </c>
      <c r="C371" s="10" t="str">
        <f>配置表!N370</f>
        <v>火</v>
      </c>
      <c r="D371" s="63" t="str">
        <f>配置表!O370</f>
        <v/>
      </c>
      <c r="E371" s="63" t="str">
        <f>配置表!P370</f>
        <v/>
      </c>
      <c r="F371" s="44" t="str">
        <f>配置表!Q370</f>
        <v>休</v>
      </c>
      <c r="G371" s="8">
        <f>配置表!R370</f>
        <v>0</v>
      </c>
      <c r="H371" s="33" t="str">
        <f>配置表!S370</f>
        <v>休</v>
      </c>
      <c r="I371" s="8">
        <f>配置表!T370</f>
        <v>0</v>
      </c>
      <c r="J371" s="33" t="str">
        <f>配置表!U370</f>
        <v>休</v>
      </c>
      <c r="K371" s="8">
        <f>配置表!V370</f>
        <v>0</v>
      </c>
      <c r="L371" s="33" t="str">
        <f>配置表!W370</f>
        <v>休</v>
      </c>
      <c r="M371" s="8">
        <f>配置表!X370</f>
        <v>0</v>
      </c>
      <c r="N371" s="33" t="str">
        <f>配置表!Y370</f>
        <v>休</v>
      </c>
      <c r="O371" s="8" t="str">
        <f>配置表!Z370</f>
        <v/>
      </c>
      <c r="P371" s="33" t="str">
        <f>配置表!AA370</f>
        <v>休</v>
      </c>
      <c r="Q371" s="227">
        <f>配置表!AB370</f>
        <v>0.41666666666666669</v>
      </c>
      <c r="R371" s="227">
        <f>配置表!AC370</f>
        <v>0.70833333333333337</v>
      </c>
      <c r="S371" s="238" t="str">
        <f>配置表!AD370</f>
        <v/>
      </c>
      <c r="T371" s="63"/>
      <c r="U371" s="152" t="s">
        <v>89</v>
      </c>
      <c r="V371" s="155" t="s">
        <v>66</v>
      </c>
      <c r="W371" s="155" t="s">
        <v>141</v>
      </c>
      <c r="X371" s="191">
        <v>5.25</v>
      </c>
      <c r="Y371" s="158">
        <v>1</v>
      </c>
      <c r="Z371" s="182">
        <f>COUNTIF(H369:H399,V371)</f>
        <v>4</v>
      </c>
      <c r="AA371" s="154">
        <f t="shared" si="22"/>
        <v>21</v>
      </c>
      <c r="AB371" s="182">
        <f>AB$10</f>
        <v>0</v>
      </c>
      <c r="AC371" s="183">
        <f t="shared" si="23"/>
        <v>0</v>
      </c>
    </row>
    <row r="372" spans="1:30" ht="13.5">
      <c r="A372" s="28" t="str">
        <f>配置表!L371</f>
        <v>閉</v>
      </c>
      <c r="B372" s="9">
        <f>配置表!M371</f>
        <v>46085</v>
      </c>
      <c r="C372" s="10" t="str">
        <f>配置表!N371</f>
        <v>水</v>
      </c>
      <c r="D372" s="63" t="str">
        <f>配置表!O371</f>
        <v/>
      </c>
      <c r="E372" s="63" t="str">
        <f>配置表!P371</f>
        <v/>
      </c>
      <c r="F372" s="44" t="str">
        <f>配置表!Q371</f>
        <v>休</v>
      </c>
      <c r="G372" s="10">
        <f>配置表!R371</f>
        <v>0</v>
      </c>
      <c r="H372" s="10" t="str">
        <f>配置表!S371</f>
        <v>休</v>
      </c>
      <c r="I372" s="45">
        <f>配置表!T371</f>
        <v>0</v>
      </c>
      <c r="J372" s="10" t="str">
        <f>配置表!U371</f>
        <v>休</v>
      </c>
      <c r="K372" s="32">
        <f>配置表!V371</f>
        <v>0</v>
      </c>
      <c r="L372" s="33" t="str">
        <f>配置表!W371</f>
        <v>休</v>
      </c>
      <c r="M372" s="8">
        <f>配置表!X371</f>
        <v>0</v>
      </c>
      <c r="N372" s="33" t="str">
        <f>配置表!Y371</f>
        <v>休</v>
      </c>
      <c r="O372" s="8" t="str">
        <f>配置表!Z371</f>
        <v/>
      </c>
      <c r="P372" s="33" t="str">
        <f>配置表!AA371</f>
        <v>休</v>
      </c>
      <c r="Q372" s="227">
        <f>配置表!AB371</f>
        <v>0.41666666666666669</v>
      </c>
      <c r="R372" s="227">
        <f>配置表!AC371</f>
        <v>0.70833333333333337</v>
      </c>
      <c r="S372" s="238" t="str">
        <f>配置表!AD371</f>
        <v/>
      </c>
      <c r="T372" s="63"/>
      <c r="U372" s="152"/>
      <c r="V372" s="155"/>
      <c r="W372" s="155"/>
      <c r="X372" s="153"/>
      <c r="Y372" s="158"/>
      <c r="Z372" s="182">
        <f>COUNTIF(H369:H399,V372)</f>
        <v>0</v>
      </c>
      <c r="AA372" s="154">
        <f t="shared" si="22"/>
        <v>0</v>
      </c>
      <c r="AB372" s="182"/>
      <c r="AC372" s="183">
        <f t="shared" si="23"/>
        <v>0</v>
      </c>
    </row>
    <row r="373" spans="1:30" ht="13.5">
      <c r="A373" s="28" t="str">
        <f>配置表!L372</f>
        <v>閉</v>
      </c>
      <c r="B373" s="9">
        <f>配置表!M372</f>
        <v>46086</v>
      </c>
      <c r="C373" s="10" t="str">
        <f>配置表!N372</f>
        <v>木</v>
      </c>
      <c r="D373" s="63" t="str">
        <f>配置表!O372</f>
        <v/>
      </c>
      <c r="E373" s="63" t="str">
        <f>配置表!P372</f>
        <v/>
      </c>
      <c r="F373" s="44" t="str">
        <f>配置表!Q372</f>
        <v>休</v>
      </c>
      <c r="G373" s="10">
        <f>配置表!R372</f>
        <v>0</v>
      </c>
      <c r="H373" s="10" t="str">
        <f>配置表!S372</f>
        <v>休</v>
      </c>
      <c r="I373" s="45">
        <f>配置表!T372</f>
        <v>0</v>
      </c>
      <c r="J373" s="10" t="str">
        <f>配置表!U372</f>
        <v>休</v>
      </c>
      <c r="K373" s="32">
        <f>配置表!V372</f>
        <v>0</v>
      </c>
      <c r="L373" s="33" t="str">
        <f>配置表!W372</f>
        <v>休</v>
      </c>
      <c r="M373" s="8">
        <f>配置表!X372</f>
        <v>0</v>
      </c>
      <c r="N373" s="33" t="str">
        <f>配置表!Y372</f>
        <v>休</v>
      </c>
      <c r="O373" s="8" t="str">
        <f>配置表!Z372</f>
        <v/>
      </c>
      <c r="P373" s="33" t="str">
        <f>配置表!AA372</f>
        <v>休</v>
      </c>
      <c r="Q373" s="227">
        <f>配置表!AB372</f>
        <v>0.41666666666666669</v>
      </c>
      <c r="R373" s="227">
        <f>配置表!AC372</f>
        <v>0.70833333333333337</v>
      </c>
      <c r="S373" s="238" t="str">
        <f>配置表!AD372</f>
        <v/>
      </c>
      <c r="T373" s="63"/>
      <c r="U373" s="152"/>
      <c r="V373" s="155"/>
      <c r="W373" s="155"/>
      <c r="X373" s="153"/>
      <c r="Y373" s="158"/>
      <c r="Z373" s="182">
        <f>COUNTIF(H369:H399,V373)</f>
        <v>0</v>
      </c>
      <c r="AA373" s="154">
        <f t="shared" si="22"/>
        <v>0</v>
      </c>
      <c r="AB373" s="182"/>
      <c r="AC373" s="183">
        <f t="shared" si="23"/>
        <v>0</v>
      </c>
    </row>
    <row r="374" spans="1:30" ht="13.5">
      <c r="A374" s="28" t="str">
        <f>配置表!L373</f>
        <v>閉</v>
      </c>
      <c r="B374" s="9">
        <f>配置表!M373</f>
        <v>46087</v>
      </c>
      <c r="C374" s="10" t="str">
        <f>配置表!N373</f>
        <v>金</v>
      </c>
      <c r="D374" s="63" t="str">
        <f>配置表!O373</f>
        <v/>
      </c>
      <c r="E374" s="63" t="str">
        <f>配置表!P373</f>
        <v/>
      </c>
      <c r="F374" s="44" t="str">
        <f>配置表!Q373</f>
        <v>休</v>
      </c>
      <c r="G374" s="10">
        <f>配置表!R373</f>
        <v>0</v>
      </c>
      <c r="H374" s="10" t="str">
        <f>配置表!S373</f>
        <v>休</v>
      </c>
      <c r="I374" s="45">
        <f>配置表!T373</f>
        <v>0</v>
      </c>
      <c r="J374" s="10" t="str">
        <f>配置表!U373</f>
        <v>休</v>
      </c>
      <c r="K374" s="32">
        <f>配置表!V373</f>
        <v>0</v>
      </c>
      <c r="L374" s="33" t="str">
        <f>配置表!W373</f>
        <v>休</v>
      </c>
      <c r="M374" s="8">
        <f>配置表!X373</f>
        <v>0</v>
      </c>
      <c r="N374" s="33" t="str">
        <f>配置表!Y373</f>
        <v>休</v>
      </c>
      <c r="O374" s="8" t="str">
        <f>配置表!Z373</f>
        <v/>
      </c>
      <c r="P374" s="33" t="str">
        <f>配置表!AA373</f>
        <v>休</v>
      </c>
      <c r="Q374" s="227">
        <f>配置表!AB373</f>
        <v>0.41666666666666669</v>
      </c>
      <c r="R374" s="227">
        <f>配置表!AC373</f>
        <v>0.70833333333333337</v>
      </c>
      <c r="S374" s="238" t="str">
        <f>配置表!AD373</f>
        <v/>
      </c>
      <c r="T374" s="63"/>
      <c r="U374" s="152" t="s">
        <v>90</v>
      </c>
      <c r="V374" s="155" t="s">
        <v>46</v>
      </c>
      <c r="W374" s="155" t="s">
        <v>142</v>
      </c>
      <c r="X374" s="191">
        <v>6.75</v>
      </c>
      <c r="Y374" s="158">
        <v>1</v>
      </c>
      <c r="Z374" s="182">
        <f>COUNTIF(J369:J399,V374)</f>
        <v>19</v>
      </c>
      <c r="AA374" s="154">
        <f t="shared" si="22"/>
        <v>128.25</v>
      </c>
      <c r="AB374" s="182">
        <f>AB$13</f>
        <v>0</v>
      </c>
      <c r="AC374" s="183">
        <f t="shared" si="23"/>
        <v>0</v>
      </c>
    </row>
    <row r="375" spans="1:30" ht="13.5">
      <c r="A375" s="28" t="str">
        <f>配置表!L374</f>
        <v>閉</v>
      </c>
      <c r="B375" s="9">
        <f>配置表!M374</f>
        <v>46088</v>
      </c>
      <c r="C375" s="10" t="str">
        <f>配置表!N374</f>
        <v>土</v>
      </c>
      <c r="D375" s="63" t="str">
        <f>配置表!O374</f>
        <v/>
      </c>
      <c r="E375" s="63" t="str">
        <f>配置表!P374</f>
        <v/>
      </c>
      <c r="F375" s="44" t="str">
        <f>配置表!Q374</f>
        <v>休</v>
      </c>
      <c r="G375" s="10">
        <f>配置表!R374</f>
        <v>0</v>
      </c>
      <c r="H375" s="10" t="str">
        <f>配置表!S374</f>
        <v>休</v>
      </c>
      <c r="I375" s="45">
        <f>配置表!T374</f>
        <v>0</v>
      </c>
      <c r="J375" s="10" t="str">
        <f>配置表!U374</f>
        <v>休</v>
      </c>
      <c r="K375" s="32">
        <f>配置表!V374</f>
        <v>0</v>
      </c>
      <c r="L375" s="33" t="str">
        <f>配置表!W374</f>
        <v>休</v>
      </c>
      <c r="M375" s="8">
        <f>配置表!X374</f>
        <v>0</v>
      </c>
      <c r="N375" s="33" t="str">
        <f>配置表!Y374</f>
        <v>休</v>
      </c>
      <c r="O375" s="8" t="str">
        <f>配置表!Z374</f>
        <v/>
      </c>
      <c r="P375" s="33" t="str">
        <f>配置表!AA374</f>
        <v>休</v>
      </c>
      <c r="Q375" s="227">
        <f>配置表!AB374</f>
        <v>0.41666666666666669</v>
      </c>
      <c r="R375" s="227">
        <f>配置表!AC374</f>
        <v>0.70833333333333337</v>
      </c>
      <c r="S375" s="238" t="str">
        <f>配置表!AD374</f>
        <v/>
      </c>
      <c r="T375" s="63"/>
      <c r="U375" s="152"/>
      <c r="V375" s="155"/>
      <c r="W375" s="155"/>
      <c r="X375" s="153"/>
      <c r="Y375" s="158"/>
      <c r="Z375" s="182">
        <f>COUNTIF(J369:J399,V375)</f>
        <v>0</v>
      </c>
      <c r="AA375" s="154">
        <f t="shared" si="22"/>
        <v>0</v>
      </c>
      <c r="AB375" s="182"/>
      <c r="AC375" s="183">
        <f t="shared" si="23"/>
        <v>0</v>
      </c>
    </row>
    <row r="376" spans="1:30" ht="13.5">
      <c r="A376" s="28" t="str">
        <f>配置表!L375</f>
        <v>閉</v>
      </c>
      <c r="B376" s="9">
        <f>配置表!M375</f>
        <v>46089</v>
      </c>
      <c r="C376" s="10" t="str">
        <f>配置表!N375</f>
        <v>日</v>
      </c>
      <c r="D376" s="63" t="str">
        <f>配置表!O375</f>
        <v/>
      </c>
      <c r="E376" s="63" t="str">
        <f>配置表!P375</f>
        <v/>
      </c>
      <c r="F376" s="44" t="str">
        <f>配置表!Q375</f>
        <v>休</v>
      </c>
      <c r="G376" s="10">
        <f>配置表!R375</f>
        <v>0</v>
      </c>
      <c r="H376" s="10" t="str">
        <f>配置表!S375</f>
        <v>休</v>
      </c>
      <c r="I376" s="45">
        <f>配置表!T375</f>
        <v>0</v>
      </c>
      <c r="J376" s="10" t="str">
        <f>配置表!U375</f>
        <v>休</v>
      </c>
      <c r="K376" s="32">
        <f>配置表!V375</f>
        <v>0</v>
      </c>
      <c r="L376" s="33" t="str">
        <f>配置表!W375</f>
        <v>休</v>
      </c>
      <c r="M376" s="8">
        <f>配置表!X375</f>
        <v>0</v>
      </c>
      <c r="N376" s="33" t="str">
        <f>配置表!Y375</f>
        <v>休</v>
      </c>
      <c r="O376" s="8" t="str">
        <f>配置表!Z375</f>
        <v/>
      </c>
      <c r="P376" s="33" t="str">
        <f>配置表!AA375</f>
        <v>休</v>
      </c>
      <c r="Q376" s="227">
        <f>配置表!AB375</f>
        <v>0.41666666666666669</v>
      </c>
      <c r="R376" s="227">
        <f>配置表!AC375</f>
        <v>0.70833333333333337</v>
      </c>
      <c r="S376" s="238" t="str">
        <f>配置表!AD375</f>
        <v/>
      </c>
      <c r="T376" s="63"/>
      <c r="U376" s="152" t="s">
        <v>91</v>
      </c>
      <c r="V376" s="155" t="s">
        <v>66</v>
      </c>
      <c r="W376" s="155" t="s">
        <v>141</v>
      </c>
      <c r="X376" s="191">
        <v>5.25</v>
      </c>
      <c r="Y376" s="158">
        <v>1</v>
      </c>
      <c r="Z376" s="186">
        <f>COUNTIF(L369:L399,V376)</f>
        <v>5</v>
      </c>
      <c r="AA376" s="154">
        <f t="shared" si="22"/>
        <v>26.25</v>
      </c>
      <c r="AB376" s="182">
        <f>AB$15</f>
        <v>0</v>
      </c>
      <c r="AC376" s="183">
        <f t="shared" si="23"/>
        <v>0</v>
      </c>
    </row>
    <row r="377" spans="1:30" ht="13.5">
      <c r="A377" s="28" t="str">
        <f>配置表!L376</f>
        <v>閉</v>
      </c>
      <c r="B377" s="9">
        <f>配置表!M376</f>
        <v>46090</v>
      </c>
      <c r="C377" s="10" t="str">
        <f>配置表!N376</f>
        <v>月</v>
      </c>
      <c r="D377" s="63" t="str">
        <f>配置表!O376</f>
        <v/>
      </c>
      <c r="E377" s="63" t="str">
        <f>配置表!P376</f>
        <v/>
      </c>
      <c r="F377" s="44" t="str">
        <f>配置表!Q376</f>
        <v>休</v>
      </c>
      <c r="G377" s="10">
        <f>配置表!R376</f>
        <v>0</v>
      </c>
      <c r="H377" s="10" t="str">
        <f>配置表!S376</f>
        <v>休</v>
      </c>
      <c r="I377" s="45">
        <f>配置表!T376</f>
        <v>0</v>
      </c>
      <c r="J377" s="10" t="str">
        <f>配置表!U376</f>
        <v>休</v>
      </c>
      <c r="K377" s="32">
        <f>配置表!V376</f>
        <v>0</v>
      </c>
      <c r="L377" s="33" t="str">
        <f>配置表!W376</f>
        <v>休</v>
      </c>
      <c r="M377" s="8">
        <f>配置表!X376</f>
        <v>0</v>
      </c>
      <c r="N377" s="33" t="str">
        <f>配置表!Y376</f>
        <v>休</v>
      </c>
      <c r="O377" s="8" t="str">
        <f>配置表!Z376</f>
        <v/>
      </c>
      <c r="P377" s="33" t="str">
        <f>配置表!AA376</f>
        <v>休</v>
      </c>
      <c r="Q377" s="227" t="str">
        <f>配置表!AB376</f>
        <v/>
      </c>
      <c r="R377" s="227" t="str">
        <f>配置表!AC376</f>
        <v/>
      </c>
      <c r="S377" s="238" t="str">
        <f>配置表!AD376</f>
        <v/>
      </c>
      <c r="T377" s="63"/>
      <c r="U377" s="152" t="s">
        <v>18</v>
      </c>
      <c r="V377" s="155" t="s">
        <v>15</v>
      </c>
      <c r="W377" s="155" t="s">
        <v>153</v>
      </c>
      <c r="X377" s="153">
        <v>5</v>
      </c>
      <c r="Y377" s="158">
        <v>1</v>
      </c>
      <c r="Z377" s="186">
        <f>COUNTIF(L369:L399,V377)</f>
        <v>4</v>
      </c>
      <c r="AA377" s="154">
        <f t="shared" si="22"/>
        <v>20</v>
      </c>
      <c r="AB377" s="182">
        <f>AB$16</f>
        <v>0</v>
      </c>
      <c r="AC377" s="183">
        <f t="shared" si="23"/>
        <v>0</v>
      </c>
    </row>
    <row r="378" spans="1:30" ht="13.5">
      <c r="A378" s="28" t="str">
        <f>配置表!L377</f>
        <v/>
      </c>
      <c r="B378" s="9">
        <f>配置表!M377</f>
        <v>46091</v>
      </c>
      <c r="C378" s="10" t="str">
        <f>配置表!N377</f>
        <v>火</v>
      </c>
      <c r="D378" s="63" t="str">
        <f>配置表!O377</f>
        <v/>
      </c>
      <c r="E378" s="63" t="str">
        <f>配置表!P377</f>
        <v>テーマ展</v>
      </c>
      <c r="F378" s="44" t="str">
        <f>配置表!Q377</f>
        <v>○</v>
      </c>
      <c r="G378" s="8">
        <f>配置表!R377</f>
        <v>0</v>
      </c>
      <c r="H378" s="33" t="str">
        <f>配置表!S377</f>
        <v/>
      </c>
      <c r="I378" s="8">
        <f>配置表!T377</f>
        <v>0</v>
      </c>
      <c r="J378" s="33" t="str">
        <f>配置表!U377</f>
        <v>●</v>
      </c>
      <c r="K378" s="8">
        <f>配置表!V377</f>
        <v>0</v>
      </c>
      <c r="L378" s="33" t="str">
        <f>配置表!W377</f>
        <v/>
      </c>
      <c r="M378" s="8">
        <f>配置表!X377</f>
        <v>0</v>
      </c>
      <c r="N378" s="33" t="str">
        <f>配置表!Y377</f>
        <v>○</v>
      </c>
      <c r="O378" s="8">
        <f>配置表!Z377</f>
        <v>1</v>
      </c>
      <c r="P378" s="33" t="str">
        <f>配置表!AA377</f>
        <v>△</v>
      </c>
      <c r="Q378" s="227">
        <f>配置表!AB377</f>
        <v>0.41666666666666669</v>
      </c>
      <c r="R378" s="227">
        <f>配置表!AC377</f>
        <v>0.70833333333333337</v>
      </c>
      <c r="S378" s="238" t="str">
        <f>配置表!AD377</f>
        <v/>
      </c>
      <c r="T378" s="63"/>
      <c r="U378" s="152"/>
      <c r="V378" s="155"/>
      <c r="W378" s="155"/>
      <c r="X378" s="153"/>
      <c r="Y378" s="158"/>
      <c r="Z378" s="186">
        <f>COUNTIF(N369:N399,V378)</f>
        <v>0</v>
      </c>
      <c r="AA378" s="154">
        <f t="shared" si="22"/>
        <v>0</v>
      </c>
      <c r="AB378" s="182"/>
      <c r="AC378" s="183">
        <f t="shared" si="23"/>
        <v>0</v>
      </c>
    </row>
    <row r="379" spans="1:30" ht="13.5">
      <c r="A379" s="28" t="str">
        <f>配置表!L378</f>
        <v/>
      </c>
      <c r="B379" s="9">
        <f>配置表!M378</f>
        <v>46092</v>
      </c>
      <c r="C379" s="10" t="str">
        <f>配置表!N378</f>
        <v>水</v>
      </c>
      <c r="D379" s="63" t="str">
        <f>配置表!O378</f>
        <v/>
      </c>
      <c r="E379" s="63" t="str">
        <f>配置表!P378</f>
        <v>テーマ展</v>
      </c>
      <c r="F379" s="44" t="str">
        <f>配置表!Q378</f>
        <v>○</v>
      </c>
      <c r="G379" s="10">
        <f>配置表!R378</f>
        <v>0</v>
      </c>
      <c r="H379" s="10" t="str">
        <f>配置表!S378</f>
        <v/>
      </c>
      <c r="I379" s="45">
        <f>配置表!T378</f>
        <v>0</v>
      </c>
      <c r="J379" s="10" t="str">
        <f>配置表!U378</f>
        <v>●</v>
      </c>
      <c r="K379" s="32">
        <f>配置表!V378</f>
        <v>0</v>
      </c>
      <c r="L379" s="33" t="str">
        <f>配置表!W378</f>
        <v/>
      </c>
      <c r="M379" s="8">
        <f>配置表!X378</f>
        <v>0</v>
      </c>
      <c r="N379" s="33" t="str">
        <f>配置表!Y378</f>
        <v>○</v>
      </c>
      <c r="O379" s="8">
        <f>配置表!Z378</f>
        <v>1</v>
      </c>
      <c r="P379" s="33" t="str">
        <f>配置表!AA378</f>
        <v>△</v>
      </c>
      <c r="Q379" s="227">
        <f>配置表!AB378</f>
        <v>0.41666666666666669</v>
      </c>
      <c r="R379" s="227">
        <f>配置表!AC378</f>
        <v>0.70833333333333337</v>
      </c>
      <c r="S379" s="238" t="str">
        <f>配置表!AD378</f>
        <v/>
      </c>
      <c r="T379" s="63"/>
      <c r="U379" s="152"/>
      <c r="V379" s="155"/>
      <c r="W379" s="274"/>
      <c r="X379" s="275"/>
      <c r="Y379" s="158"/>
      <c r="Z379" s="186">
        <f>COUNTIF(N369:N399,V379)</f>
        <v>0</v>
      </c>
      <c r="AA379" s="154">
        <f t="shared" si="22"/>
        <v>0</v>
      </c>
      <c r="AB379" s="182"/>
      <c r="AC379" s="183">
        <f t="shared" si="23"/>
        <v>0</v>
      </c>
    </row>
    <row r="380" spans="1:30" ht="13.5">
      <c r="A380" s="28" t="str">
        <f>配置表!L379</f>
        <v/>
      </c>
      <c r="B380" s="9">
        <f>配置表!M379</f>
        <v>46093</v>
      </c>
      <c r="C380" s="10" t="str">
        <f>配置表!N379</f>
        <v>木</v>
      </c>
      <c r="D380" s="63" t="str">
        <f>配置表!O379</f>
        <v/>
      </c>
      <c r="E380" s="63" t="str">
        <f>配置表!P379</f>
        <v>テーマ展</v>
      </c>
      <c r="F380" s="44" t="str">
        <f>配置表!Q379</f>
        <v>○</v>
      </c>
      <c r="G380" s="10">
        <f>配置表!R379</f>
        <v>0</v>
      </c>
      <c r="H380" s="10" t="str">
        <f>配置表!S379</f>
        <v/>
      </c>
      <c r="I380" s="45">
        <f>配置表!T379</f>
        <v>0</v>
      </c>
      <c r="J380" s="10" t="str">
        <f>配置表!U379</f>
        <v>●</v>
      </c>
      <c r="K380" s="32">
        <f>配置表!V379</f>
        <v>0</v>
      </c>
      <c r="L380" s="33" t="str">
        <f>配置表!W379</f>
        <v/>
      </c>
      <c r="M380" s="8">
        <f>配置表!X379</f>
        <v>0</v>
      </c>
      <c r="N380" s="33" t="str">
        <f>配置表!Y379</f>
        <v>○</v>
      </c>
      <c r="O380" s="8">
        <f>配置表!Z379</f>
        <v>1</v>
      </c>
      <c r="P380" s="33" t="str">
        <f>配置表!AA379</f>
        <v>△</v>
      </c>
      <c r="Q380" s="227">
        <f>配置表!AB379</f>
        <v>0.41666666666666669</v>
      </c>
      <c r="R380" s="227">
        <f>配置表!AC379</f>
        <v>0.70833333333333337</v>
      </c>
      <c r="S380" s="238" t="str">
        <f>配置表!AD379</f>
        <v/>
      </c>
      <c r="T380" s="63"/>
      <c r="U380" s="152" t="s">
        <v>19</v>
      </c>
      <c r="V380" s="155" t="s">
        <v>66</v>
      </c>
      <c r="W380" s="274" t="s">
        <v>127</v>
      </c>
      <c r="X380" s="275">
        <v>7.5</v>
      </c>
      <c r="Y380" s="158">
        <v>1</v>
      </c>
      <c r="Z380" s="186">
        <f>COUNTIF(N369:N399,V380)</f>
        <v>19</v>
      </c>
      <c r="AA380" s="154">
        <f t="shared" si="22"/>
        <v>142.5</v>
      </c>
      <c r="AB380" s="182">
        <f>AB$19</f>
        <v>0</v>
      </c>
      <c r="AC380" s="183">
        <f t="shared" si="23"/>
        <v>0</v>
      </c>
    </row>
    <row r="381" spans="1:30" ht="13.5">
      <c r="A381" s="28" t="str">
        <f>配置表!L380</f>
        <v/>
      </c>
      <c r="B381" s="9">
        <f>配置表!M380</f>
        <v>46094</v>
      </c>
      <c r="C381" s="10" t="str">
        <f>配置表!N380</f>
        <v>金</v>
      </c>
      <c r="D381" s="63" t="str">
        <f>配置表!O380</f>
        <v/>
      </c>
      <c r="E381" s="63" t="str">
        <f>配置表!P380</f>
        <v>テーマ展</v>
      </c>
      <c r="F381" s="44" t="str">
        <f>配置表!Q380</f>
        <v>○</v>
      </c>
      <c r="G381" s="10">
        <f>配置表!R380</f>
        <v>0</v>
      </c>
      <c r="H381" s="10" t="str">
        <f>配置表!S380</f>
        <v/>
      </c>
      <c r="I381" s="45">
        <f>配置表!T380</f>
        <v>0</v>
      </c>
      <c r="J381" s="10" t="str">
        <f>配置表!U380</f>
        <v>●</v>
      </c>
      <c r="K381" s="32">
        <f>配置表!V380</f>
        <v>0</v>
      </c>
      <c r="L381" s="33" t="str">
        <f>配置表!W380</f>
        <v/>
      </c>
      <c r="M381" s="8">
        <f>配置表!X380</f>
        <v>0</v>
      </c>
      <c r="N381" s="33" t="str">
        <f>配置表!Y380</f>
        <v>○</v>
      </c>
      <c r="O381" s="8">
        <f>配置表!Z380</f>
        <v>1</v>
      </c>
      <c r="P381" s="33" t="str">
        <f>配置表!AA380</f>
        <v>△</v>
      </c>
      <c r="Q381" s="227">
        <f>配置表!AB380</f>
        <v>0.41666666666666669</v>
      </c>
      <c r="R381" s="227">
        <f>配置表!AC380</f>
        <v>0.70833333333333337</v>
      </c>
      <c r="S381" s="238" t="str">
        <f>配置表!AD380</f>
        <v/>
      </c>
      <c r="T381" s="63"/>
      <c r="U381" s="152"/>
      <c r="V381" s="155"/>
      <c r="W381" s="155"/>
      <c r="X381" s="153"/>
      <c r="Y381" s="158"/>
      <c r="Z381" s="186">
        <f>COUNTIF(P369:P399,V381)</f>
        <v>0</v>
      </c>
      <c r="AA381" s="154">
        <f t="shared" si="22"/>
        <v>0</v>
      </c>
      <c r="AB381" s="182"/>
      <c r="AC381" s="183">
        <f t="shared" si="23"/>
        <v>0</v>
      </c>
    </row>
    <row r="382" spans="1:30" ht="13.5">
      <c r="A382" s="28" t="str">
        <f>配置表!L381</f>
        <v/>
      </c>
      <c r="B382" s="9">
        <f>配置表!M381</f>
        <v>46095</v>
      </c>
      <c r="C382" s="10" t="str">
        <f>配置表!N381</f>
        <v>土</v>
      </c>
      <c r="D382" s="63" t="str">
        <f>配置表!O381</f>
        <v/>
      </c>
      <c r="E382" s="63" t="str">
        <f>配置表!P381</f>
        <v>テーマ展</v>
      </c>
      <c r="F382" s="44" t="str">
        <f>配置表!Q381</f>
        <v>○</v>
      </c>
      <c r="G382" s="10">
        <f>配置表!R381</f>
        <v>0</v>
      </c>
      <c r="H382" s="10" t="str">
        <f>配置表!S381</f>
        <v/>
      </c>
      <c r="I382" s="45">
        <f>配置表!T381</f>
        <v>0</v>
      </c>
      <c r="J382" s="10" t="str">
        <f>配置表!U381</f>
        <v>●</v>
      </c>
      <c r="K382" s="32">
        <f>配置表!V381</f>
        <v>0</v>
      </c>
      <c r="L382" s="33" t="str">
        <f>配置表!W381</f>
        <v/>
      </c>
      <c r="M382" s="8">
        <f>配置表!X381</f>
        <v>0</v>
      </c>
      <c r="N382" s="33" t="str">
        <f>配置表!Y381</f>
        <v>○</v>
      </c>
      <c r="O382" s="8">
        <f>配置表!Z381</f>
        <v>1</v>
      </c>
      <c r="P382" s="33" t="str">
        <f>配置表!AA381</f>
        <v>△</v>
      </c>
      <c r="Q382" s="227">
        <f>配置表!AB381</f>
        <v>0.41666666666666669</v>
      </c>
      <c r="R382" s="227">
        <f>配置表!AC381</f>
        <v>0.70833333333333337</v>
      </c>
      <c r="S382" s="238" t="str">
        <f>配置表!AD381</f>
        <v/>
      </c>
      <c r="T382" s="63"/>
      <c r="U382" s="152"/>
      <c r="V382" s="155"/>
      <c r="W382" s="274"/>
      <c r="X382" s="275"/>
      <c r="Y382" s="158"/>
      <c r="Z382" s="182">
        <f>COUNTIF(P369:P399,V382)</f>
        <v>0</v>
      </c>
      <c r="AA382" s="154">
        <f t="shared" si="22"/>
        <v>0</v>
      </c>
      <c r="AB382" s="182"/>
      <c r="AC382" s="183">
        <f t="shared" si="23"/>
        <v>0</v>
      </c>
    </row>
    <row r="383" spans="1:30" ht="13.5">
      <c r="A383" s="28" t="str">
        <f>配置表!L382</f>
        <v/>
      </c>
      <c r="B383" s="9">
        <f>配置表!M382</f>
        <v>46096</v>
      </c>
      <c r="C383" s="10" t="str">
        <f>配置表!N382</f>
        <v>日</v>
      </c>
      <c r="D383" s="63" t="str">
        <f>配置表!O382</f>
        <v/>
      </c>
      <c r="E383" s="63" t="str">
        <f>配置表!P382</f>
        <v>テーマ展</v>
      </c>
      <c r="F383" s="44" t="str">
        <f>配置表!Q382</f>
        <v>○</v>
      </c>
      <c r="G383" s="10">
        <f>配置表!R382</f>
        <v>0</v>
      </c>
      <c r="H383" s="10" t="str">
        <f>配置表!S382</f>
        <v/>
      </c>
      <c r="I383" s="45">
        <f>配置表!T382</f>
        <v>0</v>
      </c>
      <c r="J383" s="10" t="str">
        <f>配置表!U382</f>
        <v>●</v>
      </c>
      <c r="K383" s="32">
        <f>配置表!V382</f>
        <v>0</v>
      </c>
      <c r="L383" s="33" t="str">
        <f>配置表!W382</f>
        <v/>
      </c>
      <c r="M383" s="8">
        <f>配置表!X382</f>
        <v>0</v>
      </c>
      <c r="N383" s="33" t="str">
        <f>配置表!Y382</f>
        <v>○</v>
      </c>
      <c r="O383" s="8">
        <f>配置表!Z382</f>
        <v>1</v>
      </c>
      <c r="P383" s="33" t="str">
        <f>配置表!AA382</f>
        <v>△</v>
      </c>
      <c r="Q383" s="227">
        <f>配置表!AB382</f>
        <v>0.41666666666666669</v>
      </c>
      <c r="R383" s="227">
        <f>配置表!AC382</f>
        <v>0.70833333333333337</v>
      </c>
      <c r="S383" s="238" t="str">
        <f>配置表!AD382</f>
        <v/>
      </c>
      <c r="T383" s="63"/>
      <c r="U383" s="152" t="s">
        <v>69</v>
      </c>
      <c r="V383" s="155" t="s">
        <v>66</v>
      </c>
      <c r="W383" s="274" t="s">
        <v>127</v>
      </c>
      <c r="X383" s="275">
        <v>7.5</v>
      </c>
      <c r="Y383" s="158">
        <v>5</v>
      </c>
      <c r="Z383" s="182">
        <f>COUNTIF(P369:P399,V383)</f>
        <v>9</v>
      </c>
      <c r="AA383" s="154">
        <f t="shared" si="22"/>
        <v>337.5</v>
      </c>
      <c r="AB383" s="182">
        <f>AB$22</f>
        <v>0</v>
      </c>
      <c r="AC383" s="183">
        <f t="shared" si="23"/>
        <v>0</v>
      </c>
    </row>
    <row r="384" spans="1:30" ht="13.5">
      <c r="A384" s="28" t="str">
        <f>配置表!L383</f>
        <v>閉</v>
      </c>
      <c r="B384" s="9">
        <f>配置表!M383</f>
        <v>46097</v>
      </c>
      <c r="C384" s="10" t="str">
        <f>配置表!N383</f>
        <v>月</v>
      </c>
      <c r="D384" s="63" t="str">
        <f>配置表!O383</f>
        <v/>
      </c>
      <c r="E384" s="63" t="str">
        <f>配置表!P383</f>
        <v>テーマ展</v>
      </c>
      <c r="F384" s="44" t="str">
        <f>配置表!Q383</f>
        <v>休</v>
      </c>
      <c r="G384" s="10">
        <f>配置表!R383</f>
        <v>0</v>
      </c>
      <c r="H384" s="10" t="str">
        <f>配置表!S383</f>
        <v>休</v>
      </c>
      <c r="I384" s="45">
        <f>配置表!T383</f>
        <v>0</v>
      </c>
      <c r="J384" s="10" t="str">
        <f>配置表!U383</f>
        <v>休</v>
      </c>
      <c r="K384" s="32">
        <f>配置表!V383</f>
        <v>0</v>
      </c>
      <c r="L384" s="33" t="str">
        <f>配置表!W383</f>
        <v>休</v>
      </c>
      <c r="M384" s="8">
        <f>配置表!X383</f>
        <v>0</v>
      </c>
      <c r="N384" s="33" t="str">
        <f>配置表!Y383</f>
        <v>休</v>
      </c>
      <c r="O384" s="8" t="str">
        <f>配置表!Z383</f>
        <v/>
      </c>
      <c r="P384" s="33" t="str">
        <f>配置表!AA383</f>
        <v>休</v>
      </c>
      <c r="Q384" s="227" t="str">
        <f>配置表!AB383</f>
        <v/>
      </c>
      <c r="R384" s="227" t="str">
        <f>配置表!AC383</f>
        <v/>
      </c>
      <c r="S384" s="238" t="str">
        <f>配置表!AD383</f>
        <v/>
      </c>
      <c r="T384" s="63"/>
      <c r="U384" s="187" t="s">
        <v>69</v>
      </c>
      <c r="V384" s="155" t="s">
        <v>75</v>
      </c>
      <c r="W384" s="274" t="s">
        <v>127</v>
      </c>
      <c r="X384" s="275">
        <v>7.5</v>
      </c>
      <c r="Y384" s="158">
        <v>1</v>
      </c>
      <c r="Z384" s="186">
        <f>COUNTIF(P369:P399,V384)+Z385</f>
        <v>10</v>
      </c>
      <c r="AA384" s="154">
        <f t="shared" si="22"/>
        <v>75</v>
      </c>
      <c r="AB384" s="182">
        <f>AB$56</f>
        <v>0</v>
      </c>
      <c r="AC384" s="183">
        <f t="shared" si="23"/>
        <v>0</v>
      </c>
      <c r="AD384" s="1" t="s">
        <v>95</v>
      </c>
    </row>
    <row r="385" spans="1:29" ht="13.5">
      <c r="A385" s="28" t="str">
        <f>配置表!L384</f>
        <v/>
      </c>
      <c r="B385" s="9">
        <f>配置表!M384</f>
        <v>46098</v>
      </c>
      <c r="C385" s="10" t="str">
        <f>配置表!N384</f>
        <v>火</v>
      </c>
      <c r="D385" s="63" t="str">
        <f>配置表!O384</f>
        <v/>
      </c>
      <c r="E385" s="63" t="str">
        <f>配置表!P384</f>
        <v>テーマ展</v>
      </c>
      <c r="F385" s="44" t="str">
        <f>配置表!Q384</f>
        <v>○</v>
      </c>
      <c r="G385" s="8">
        <f>配置表!R384</f>
        <v>0</v>
      </c>
      <c r="H385" s="33" t="str">
        <f>配置表!S384</f>
        <v/>
      </c>
      <c r="I385" s="8">
        <f>配置表!T384</f>
        <v>0</v>
      </c>
      <c r="J385" s="33" t="str">
        <f>配置表!U384</f>
        <v>●</v>
      </c>
      <c r="K385" s="8">
        <f>配置表!V384</f>
        <v>0</v>
      </c>
      <c r="L385" s="33" t="str">
        <f>配置表!W384</f>
        <v/>
      </c>
      <c r="M385" s="8">
        <f>配置表!X384</f>
        <v>0</v>
      </c>
      <c r="N385" s="33" t="str">
        <f>配置表!Y384</f>
        <v>○</v>
      </c>
      <c r="O385" s="8">
        <f>配置表!Z384</f>
        <v>1</v>
      </c>
      <c r="P385" s="33" t="str">
        <f>配置表!AA384</f>
        <v>△</v>
      </c>
      <c r="Q385" s="227">
        <f>配置表!AB384</f>
        <v>0.41666666666666669</v>
      </c>
      <c r="R385" s="227">
        <f>配置表!AC384</f>
        <v>0.70833333333333337</v>
      </c>
      <c r="S385" s="238" t="str">
        <f>配置表!AD384</f>
        <v/>
      </c>
      <c r="T385" s="63"/>
      <c r="U385" s="152" t="s">
        <v>69</v>
      </c>
      <c r="V385" s="155" t="s">
        <v>93</v>
      </c>
      <c r="W385" s="155" t="s">
        <v>154</v>
      </c>
      <c r="X385" s="191">
        <v>2.75</v>
      </c>
      <c r="Y385" s="158">
        <v>4</v>
      </c>
      <c r="Z385" s="186">
        <f>COUNTIF(P369:P399,V385)</f>
        <v>0</v>
      </c>
      <c r="AA385" s="154">
        <f t="shared" si="22"/>
        <v>0</v>
      </c>
      <c r="AB385" s="182"/>
      <c r="AC385" s="183">
        <f t="shared" si="23"/>
        <v>0</v>
      </c>
    </row>
    <row r="386" spans="1:29" ht="13.5">
      <c r="A386" s="28" t="str">
        <f>配置表!L385</f>
        <v/>
      </c>
      <c r="B386" s="9">
        <f>配置表!M385</f>
        <v>46099</v>
      </c>
      <c r="C386" s="10" t="str">
        <f>配置表!N385</f>
        <v>水</v>
      </c>
      <c r="D386" s="63" t="str">
        <f>配置表!O385</f>
        <v/>
      </c>
      <c r="E386" s="63" t="str">
        <f>配置表!P385</f>
        <v>テーマ展</v>
      </c>
      <c r="F386" s="44" t="str">
        <f>配置表!Q385</f>
        <v>○</v>
      </c>
      <c r="G386" s="10">
        <f>配置表!R385</f>
        <v>0</v>
      </c>
      <c r="H386" s="10" t="str">
        <f>配置表!S385</f>
        <v/>
      </c>
      <c r="I386" s="45">
        <f>配置表!T385</f>
        <v>0</v>
      </c>
      <c r="J386" s="10" t="str">
        <f>配置表!U385</f>
        <v>●</v>
      </c>
      <c r="K386" s="32">
        <f>配置表!V385</f>
        <v>0</v>
      </c>
      <c r="L386" s="33" t="str">
        <f>配置表!W385</f>
        <v/>
      </c>
      <c r="M386" s="8">
        <f>配置表!X385</f>
        <v>0</v>
      </c>
      <c r="N386" s="33" t="str">
        <f>配置表!Y385</f>
        <v>○</v>
      </c>
      <c r="O386" s="8">
        <f>配置表!Z385</f>
        <v>1</v>
      </c>
      <c r="P386" s="33" t="str">
        <f>配置表!AA385</f>
        <v>△</v>
      </c>
      <c r="Q386" s="227">
        <f>配置表!AB385</f>
        <v>0.41666666666666669</v>
      </c>
      <c r="R386" s="227">
        <f>配置表!AC385</f>
        <v>0.70833333333333337</v>
      </c>
      <c r="S386" s="238" t="str">
        <f>配置表!AD385</f>
        <v/>
      </c>
      <c r="T386" s="63"/>
      <c r="U386" s="159" t="s">
        <v>64</v>
      </c>
      <c r="V386" s="160"/>
      <c r="W386" s="160"/>
      <c r="X386" s="188"/>
      <c r="Y386" s="188"/>
      <c r="Z386" s="189">
        <f>SUM(Z369:Z385)</f>
        <v>89</v>
      </c>
      <c r="AA386" s="190">
        <f>SUM(AA369:AA385)</f>
        <v>912</v>
      </c>
      <c r="AB386" s="182"/>
      <c r="AC386" s="183">
        <f>SUM(AC369:AC385)</f>
        <v>0</v>
      </c>
    </row>
    <row r="387" spans="1:29" ht="14.25" thickBot="1">
      <c r="A387" s="28" t="str">
        <f>配置表!L386</f>
        <v/>
      </c>
      <c r="B387" s="9">
        <f>配置表!M386</f>
        <v>46100</v>
      </c>
      <c r="C387" s="10" t="str">
        <f>配置表!N386</f>
        <v>木</v>
      </c>
      <c r="D387" s="63" t="str">
        <f>配置表!O386</f>
        <v/>
      </c>
      <c r="E387" s="63" t="str">
        <f>配置表!P386</f>
        <v>テーマ展</v>
      </c>
      <c r="F387" s="44" t="str">
        <f>配置表!Q386</f>
        <v>○</v>
      </c>
      <c r="G387" s="10">
        <f>配置表!R386</f>
        <v>0</v>
      </c>
      <c r="H387" s="10" t="str">
        <f>配置表!S386</f>
        <v/>
      </c>
      <c r="I387" s="45">
        <f>配置表!T386</f>
        <v>0</v>
      </c>
      <c r="J387" s="10" t="str">
        <f>配置表!U386</f>
        <v>●</v>
      </c>
      <c r="K387" s="32">
        <f>配置表!V386</f>
        <v>0</v>
      </c>
      <c r="L387" s="33" t="str">
        <f>配置表!W386</f>
        <v/>
      </c>
      <c r="M387" s="8">
        <f>配置表!X386</f>
        <v>0</v>
      </c>
      <c r="N387" s="33" t="str">
        <f>配置表!Y386</f>
        <v>○</v>
      </c>
      <c r="O387" s="8">
        <f>配置表!Z386</f>
        <v>1</v>
      </c>
      <c r="P387" s="33" t="str">
        <f>配置表!AA386</f>
        <v>△</v>
      </c>
      <c r="Q387" s="227">
        <f>配置表!AB386</f>
        <v>0.41666666666666669</v>
      </c>
      <c r="R387" s="227">
        <f>配置表!AC386</f>
        <v>0.70833333333333337</v>
      </c>
      <c r="S387" s="238" t="str">
        <f>配置表!AD386</f>
        <v/>
      </c>
      <c r="T387" s="63"/>
      <c r="U387" s="178" t="s">
        <v>65</v>
      </c>
      <c r="V387" s="179"/>
      <c r="W387" s="179"/>
      <c r="X387" s="180"/>
      <c r="Y387" s="180"/>
      <c r="Z387" s="180"/>
      <c r="AA387" s="170"/>
      <c r="AB387" s="184"/>
      <c r="AC387" s="185">
        <f>ROUNDDOWN(AC386*1.1,0)</f>
        <v>0</v>
      </c>
    </row>
    <row r="388" spans="1:29" ht="14.25" thickBot="1">
      <c r="A388" s="28" t="str">
        <f>配置表!L387</f>
        <v/>
      </c>
      <c r="B388" s="9">
        <f>配置表!M387</f>
        <v>46101</v>
      </c>
      <c r="C388" s="10" t="str">
        <f>配置表!N387</f>
        <v>金</v>
      </c>
      <c r="D388" s="63" t="str">
        <f>配置表!O387</f>
        <v/>
      </c>
      <c r="E388" s="63" t="str">
        <f>配置表!P387</f>
        <v>テーマ展</v>
      </c>
      <c r="F388" s="44" t="str">
        <f>配置表!Q387</f>
        <v>○</v>
      </c>
      <c r="G388" s="10">
        <f>配置表!R387</f>
        <v>0</v>
      </c>
      <c r="H388" s="10" t="str">
        <f>配置表!S387</f>
        <v/>
      </c>
      <c r="I388" s="45">
        <f>配置表!T387</f>
        <v>0</v>
      </c>
      <c r="J388" s="10" t="str">
        <f>配置表!U387</f>
        <v>●</v>
      </c>
      <c r="K388" s="32">
        <f>配置表!V387</f>
        <v>0</v>
      </c>
      <c r="L388" s="33" t="str">
        <f>配置表!W387</f>
        <v/>
      </c>
      <c r="M388" s="8">
        <f>配置表!X387</f>
        <v>0</v>
      </c>
      <c r="N388" s="33" t="str">
        <f>配置表!Y387</f>
        <v>○</v>
      </c>
      <c r="O388" s="8">
        <f>配置表!Z387</f>
        <v>1</v>
      </c>
      <c r="P388" s="33" t="str">
        <f>配置表!AA387</f>
        <v>△</v>
      </c>
      <c r="Q388" s="227">
        <f>配置表!AB387</f>
        <v>0.41666666666666669</v>
      </c>
      <c r="R388" s="227">
        <f>配置表!AC387</f>
        <v>0.70833333333333337</v>
      </c>
      <c r="S388" s="238" t="str">
        <f>配置表!AD387</f>
        <v>春分の日</v>
      </c>
      <c r="T388" s="63"/>
      <c r="U388" s="178" t="s">
        <v>65</v>
      </c>
      <c r="V388" s="179"/>
      <c r="W388" s="179"/>
      <c r="X388" s="180"/>
      <c r="Y388" s="180"/>
      <c r="Z388" s="180"/>
      <c r="AA388" s="170"/>
      <c r="AB388" s="184"/>
      <c r="AC388" s="185">
        <f>ROUNDDOWN(AC387*1.1,0)</f>
        <v>0</v>
      </c>
    </row>
    <row r="389" spans="1:29" ht="13.5">
      <c r="A389" s="28" t="str">
        <f>配置表!L388</f>
        <v/>
      </c>
      <c r="B389" s="9">
        <f>配置表!M388</f>
        <v>46102</v>
      </c>
      <c r="C389" s="10" t="str">
        <f>配置表!N388</f>
        <v>土</v>
      </c>
      <c r="D389" s="63" t="str">
        <f>配置表!O388</f>
        <v>春　特別展</v>
      </c>
      <c r="E389" s="63" t="str">
        <f>配置表!P388</f>
        <v>テーマ展</v>
      </c>
      <c r="F389" s="44" t="str">
        <f>配置表!Q388</f>
        <v>○</v>
      </c>
      <c r="G389" s="10">
        <f>配置表!R388</f>
        <v>0</v>
      </c>
      <c r="H389" s="10" t="str">
        <f>配置表!S388</f>
        <v>○</v>
      </c>
      <c r="I389" s="45">
        <f>配置表!T388</f>
        <v>0</v>
      </c>
      <c r="J389" s="10" t="str">
        <f>配置表!U388</f>
        <v>●</v>
      </c>
      <c r="K389" s="32">
        <f>配置表!V388</f>
        <v>0</v>
      </c>
      <c r="L389" s="33" t="str">
        <f>配置表!W388</f>
        <v>◎</v>
      </c>
      <c r="M389" s="8">
        <f>配置表!X388</f>
        <v>0</v>
      </c>
      <c r="N389" s="33" t="str">
        <f>配置表!Y388</f>
        <v>○</v>
      </c>
      <c r="O389" s="8">
        <f>配置表!Z388</f>
        <v>5</v>
      </c>
      <c r="P389" s="33" t="str">
        <f>配置表!AA388</f>
        <v>○</v>
      </c>
      <c r="Q389" s="227">
        <f>配置表!AB388</f>
        <v>0.41666666666666669</v>
      </c>
      <c r="R389" s="227">
        <f>配置表!AC388</f>
        <v>0.70833333333333337</v>
      </c>
      <c r="S389" s="238" t="str">
        <f>配置表!AD388</f>
        <v/>
      </c>
      <c r="T389" s="63"/>
      <c r="AB389" s="3" t="s">
        <v>86</v>
      </c>
      <c r="AC389" s="167">
        <f>SUM(AC26,AC59,AC92,AC125,AC158,AC192,AC224,AC257,AC290,AC323,AC356,AC388)</f>
        <v>0</v>
      </c>
    </row>
    <row r="390" spans="1:29" ht="13.5">
      <c r="A390" s="28" t="str">
        <f>配置表!L389</f>
        <v/>
      </c>
      <c r="B390" s="9">
        <f>配置表!M389</f>
        <v>46103</v>
      </c>
      <c r="C390" s="10" t="str">
        <f>配置表!N389</f>
        <v>日</v>
      </c>
      <c r="D390" s="63" t="str">
        <f>配置表!O389</f>
        <v>春　特別展</v>
      </c>
      <c r="E390" s="63" t="str">
        <f>配置表!P389</f>
        <v>テーマ展</v>
      </c>
      <c r="F390" s="44" t="str">
        <f>配置表!Q389</f>
        <v>○</v>
      </c>
      <c r="G390" s="10">
        <f>配置表!R389</f>
        <v>0</v>
      </c>
      <c r="H390" s="10" t="str">
        <f>配置表!S389</f>
        <v>○</v>
      </c>
      <c r="I390" s="45">
        <f>配置表!T389</f>
        <v>0</v>
      </c>
      <c r="J390" s="10" t="str">
        <f>配置表!U389</f>
        <v>●</v>
      </c>
      <c r="K390" s="32">
        <f>配置表!V389</f>
        <v>0</v>
      </c>
      <c r="L390" s="33" t="str">
        <f>配置表!W389</f>
        <v>◎</v>
      </c>
      <c r="M390" s="8">
        <f>配置表!X389</f>
        <v>0</v>
      </c>
      <c r="N390" s="33" t="str">
        <f>配置表!Y389</f>
        <v>○</v>
      </c>
      <c r="O390" s="8">
        <f>配置表!Z389</f>
        <v>5</v>
      </c>
      <c r="P390" s="33" t="str">
        <f>配置表!AA389</f>
        <v>○</v>
      </c>
      <c r="Q390" s="227">
        <f>配置表!AB389</f>
        <v>0.41666666666666669</v>
      </c>
      <c r="R390" s="227">
        <f>配置表!AC389</f>
        <v>0.70833333333333337</v>
      </c>
      <c r="S390" s="238" t="str">
        <f>配置表!AD389</f>
        <v/>
      </c>
      <c r="T390" s="63"/>
      <c r="AB390" s="3"/>
      <c r="AC390" s="167"/>
    </row>
    <row r="391" spans="1:29" ht="13.5">
      <c r="A391" s="28" t="str">
        <f>配置表!L390</f>
        <v>閉</v>
      </c>
      <c r="B391" s="9">
        <f>配置表!M390</f>
        <v>46104</v>
      </c>
      <c r="C391" s="10" t="str">
        <f>配置表!N390</f>
        <v>月</v>
      </c>
      <c r="D391" s="63" t="str">
        <f>配置表!O390</f>
        <v>春　特別展</v>
      </c>
      <c r="E391" s="63" t="str">
        <f>配置表!P390</f>
        <v>テーマ展</v>
      </c>
      <c r="F391" s="44" t="str">
        <f>配置表!Q390</f>
        <v>休</v>
      </c>
      <c r="G391" s="10">
        <f>配置表!R390</f>
        <v>0</v>
      </c>
      <c r="H391" s="10" t="str">
        <f>配置表!S390</f>
        <v>休</v>
      </c>
      <c r="I391" s="45">
        <f>配置表!T390</f>
        <v>0</v>
      </c>
      <c r="J391" s="10" t="str">
        <f>配置表!U390</f>
        <v>休</v>
      </c>
      <c r="K391" s="32">
        <f>配置表!V390</f>
        <v>0</v>
      </c>
      <c r="L391" s="33" t="str">
        <f>配置表!W390</f>
        <v>休</v>
      </c>
      <c r="M391" s="8">
        <f>配置表!X390</f>
        <v>0</v>
      </c>
      <c r="N391" s="33" t="str">
        <f>配置表!Y390</f>
        <v>休</v>
      </c>
      <c r="O391" s="8" t="str">
        <f>配置表!Z390</f>
        <v/>
      </c>
      <c r="P391" s="33" t="str">
        <f>配置表!AA390</f>
        <v>休</v>
      </c>
      <c r="Q391" s="227" t="str">
        <f>配置表!AB390</f>
        <v/>
      </c>
      <c r="R391" s="227" t="str">
        <f>配置表!AC390</f>
        <v/>
      </c>
      <c r="S391" s="238" t="str">
        <f>配置表!AD390</f>
        <v/>
      </c>
      <c r="T391" s="63"/>
      <c r="AB391" s="3"/>
      <c r="AC391" s="171">
        <f>AC390-AC389</f>
        <v>0</v>
      </c>
    </row>
    <row r="392" spans="1:29">
      <c r="A392" s="28" t="str">
        <f>配置表!L391</f>
        <v/>
      </c>
      <c r="B392" s="9">
        <f>配置表!M391</f>
        <v>46105</v>
      </c>
      <c r="C392" s="10" t="str">
        <f>配置表!N391</f>
        <v>火</v>
      </c>
      <c r="D392" s="63" t="str">
        <f>配置表!O391</f>
        <v>春　特別展</v>
      </c>
      <c r="E392" s="63" t="str">
        <f>配置表!P391</f>
        <v>テーマ展</v>
      </c>
      <c r="F392" s="44" t="str">
        <f>配置表!Q391</f>
        <v>○</v>
      </c>
      <c r="G392" s="8">
        <f>配置表!R391</f>
        <v>0</v>
      </c>
      <c r="H392" s="33" t="str">
        <f>配置表!S391</f>
        <v/>
      </c>
      <c r="I392" s="8">
        <f>配置表!T391</f>
        <v>0</v>
      </c>
      <c r="J392" s="33" t="str">
        <f>配置表!U391</f>
        <v>●</v>
      </c>
      <c r="K392" s="8">
        <f>配置表!V391</f>
        <v>0</v>
      </c>
      <c r="L392" s="33" t="str">
        <f>配置表!W391</f>
        <v>○</v>
      </c>
      <c r="M392" s="8">
        <f>配置表!X391</f>
        <v>0</v>
      </c>
      <c r="N392" s="33" t="str">
        <f>配置表!Y391</f>
        <v>○</v>
      </c>
      <c r="O392" s="8">
        <f>配置表!Z391</f>
        <v>5</v>
      </c>
      <c r="P392" s="33" t="str">
        <f>配置表!AA391</f>
        <v>○</v>
      </c>
      <c r="Q392" s="227">
        <f>配置表!AB391</f>
        <v>0.41666666666666669</v>
      </c>
      <c r="R392" s="227">
        <f>配置表!AC391</f>
        <v>0.70833333333333337</v>
      </c>
      <c r="S392" s="238" t="str">
        <f>配置表!AD391</f>
        <v/>
      </c>
      <c r="T392" s="63"/>
    </row>
    <row r="393" spans="1:29">
      <c r="A393" s="28" t="str">
        <f>配置表!L392</f>
        <v/>
      </c>
      <c r="B393" s="9">
        <f>配置表!M392</f>
        <v>46106</v>
      </c>
      <c r="C393" s="10" t="str">
        <f>配置表!N392</f>
        <v>水</v>
      </c>
      <c r="D393" s="63" t="str">
        <f>配置表!O392</f>
        <v>春　特別展</v>
      </c>
      <c r="E393" s="63" t="str">
        <f>配置表!P392</f>
        <v>テーマ展</v>
      </c>
      <c r="F393" s="44" t="str">
        <f>配置表!Q392</f>
        <v>○</v>
      </c>
      <c r="G393" s="10">
        <f>配置表!R392</f>
        <v>0</v>
      </c>
      <c r="H393" s="10" t="str">
        <f>配置表!S392</f>
        <v/>
      </c>
      <c r="I393" s="45">
        <f>配置表!T392</f>
        <v>0</v>
      </c>
      <c r="J393" s="10" t="str">
        <f>配置表!U392</f>
        <v>●</v>
      </c>
      <c r="K393" s="32">
        <f>配置表!V392</f>
        <v>0</v>
      </c>
      <c r="L393" s="33" t="str">
        <f>配置表!W392</f>
        <v>○</v>
      </c>
      <c r="M393" s="8">
        <f>配置表!X392</f>
        <v>0</v>
      </c>
      <c r="N393" s="33" t="str">
        <f>配置表!Y392</f>
        <v>○</v>
      </c>
      <c r="O393" s="8">
        <f>配置表!Z392</f>
        <v>5</v>
      </c>
      <c r="P393" s="33" t="str">
        <f>配置表!AA392</f>
        <v>○</v>
      </c>
      <c r="Q393" s="227">
        <f>配置表!AB392</f>
        <v>0.41666666666666669</v>
      </c>
      <c r="R393" s="227">
        <f>配置表!AC392</f>
        <v>0.70833333333333337</v>
      </c>
      <c r="S393" s="238" t="str">
        <f>配置表!AD392</f>
        <v/>
      </c>
      <c r="T393" s="63"/>
      <c r="U393" s="317"/>
      <c r="V393" s="162"/>
      <c r="W393" s="162"/>
      <c r="X393" s="4"/>
      <c r="Y393" s="4"/>
      <c r="Z393" s="4"/>
      <c r="AA393" s="4"/>
      <c r="AB393" s="4"/>
      <c r="AC393" s="4"/>
    </row>
    <row r="394" spans="1:29">
      <c r="A394" s="28" t="str">
        <f>配置表!L393</f>
        <v/>
      </c>
      <c r="B394" s="9">
        <f>配置表!M393</f>
        <v>46107</v>
      </c>
      <c r="C394" s="10" t="str">
        <f>配置表!N393</f>
        <v>木</v>
      </c>
      <c r="D394" s="63" t="str">
        <f>配置表!O393</f>
        <v>春　特別展</v>
      </c>
      <c r="E394" s="63" t="str">
        <f>配置表!P393</f>
        <v>テーマ展</v>
      </c>
      <c r="F394" s="44" t="str">
        <f>配置表!Q393</f>
        <v>○</v>
      </c>
      <c r="G394" s="10">
        <f>配置表!R393</f>
        <v>0</v>
      </c>
      <c r="H394" s="10" t="str">
        <f>配置表!S393</f>
        <v/>
      </c>
      <c r="I394" s="45">
        <f>配置表!T393</f>
        <v>0</v>
      </c>
      <c r="J394" s="10" t="str">
        <f>配置表!U393</f>
        <v>●</v>
      </c>
      <c r="K394" s="32">
        <f>配置表!V393</f>
        <v>0</v>
      </c>
      <c r="L394" s="33" t="str">
        <f>配置表!W393</f>
        <v>○</v>
      </c>
      <c r="M394" s="8">
        <f>配置表!X393</f>
        <v>0</v>
      </c>
      <c r="N394" s="33" t="str">
        <f>配置表!Y393</f>
        <v>○</v>
      </c>
      <c r="O394" s="8">
        <f>配置表!Z393</f>
        <v>5</v>
      </c>
      <c r="P394" s="33" t="str">
        <f>配置表!AA393</f>
        <v>○</v>
      </c>
      <c r="Q394" s="227">
        <f>配置表!AB393</f>
        <v>0.41666666666666669</v>
      </c>
      <c r="R394" s="227">
        <f>配置表!AC393</f>
        <v>0.70833333333333337</v>
      </c>
      <c r="S394" s="238" t="str">
        <f>配置表!AD393</f>
        <v/>
      </c>
      <c r="T394" s="63"/>
      <c r="U394" s="4"/>
      <c r="V394" s="162"/>
      <c r="W394" s="162"/>
      <c r="X394" s="4"/>
      <c r="Y394" s="4"/>
      <c r="Z394" s="4"/>
      <c r="AA394" s="4"/>
      <c r="AB394" s="4"/>
      <c r="AC394" s="4"/>
    </row>
    <row r="395" spans="1:29" ht="13.5">
      <c r="A395" s="28" t="str">
        <f>配置表!L394</f>
        <v/>
      </c>
      <c r="B395" s="9">
        <f>配置表!M394</f>
        <v>46108</v>
      </c>
      <c r="C395" s="10" t="str">
        <f>配置表!N394</f>
        <v>金</v>
      </c>
      <c r="D395" s="63" t="str">
        <f>配置表!O394</f>
        <v>春　特別展</v>
      </c>
      <c r="E395" s="63" t="str">
        <f>配置表!P394</f>
        <v>テーマ展</v>
      </c>
      <c r="F395" s="44" t="str">
        <f>配置表!Q394</f>
        <v>○</v>
      </c>
      <c r="G395" s="10">
        <f>配置表!R394</f>
        <v>0</v>
      </c>
      <c r="H395" s="10" t="str">
        <f>配置表!S394</f>
        <v/>
      </c>
      <c r="I395" s="45">
        <f>配置表!T394</f>
        <v>0</v>
      </c>
      <c r="J395" s="10" t="str">
        <f>配置表!U394</f>
        <v>●</v>
      </c>
      <c r="K395" s="32">
        <f>配置表!V394</f>
        <v>0</v>
      </c>
      <c r="L395" s="33" t="str">
        <f>配置表!W394</f>
        <v>○</v>
      </c>
      <c r="M395" s="8">
        <f>配置表!X394</f>
        <v>0</v>
      </c>
      <c r="N395" s="33" t="str">
        <f>配置表!Y394</f>
        <v>○</v>
      </c>
      <c r="O395" s="8">
        <f>配置表!Z394</f>
        <v>5</v>
      </c>
      <c r="P395" s="33" t="str">
        <f>配置表!AA394</f>
        <v>○</v>
      </c>
      <c r="Q395" s="227">
        <f>配置表!AB394</f>
        <v>0.41666666666666669</v>
      </c>
      <c r="R395" s="227">
        <f>配置表!AC394</f>
        <v>0.70833333333333337</v>
      </c>
      <c r="S395" s="238" t="str">
        <f>配置表!AD394</f>
        <v/>
      </c>
      <c r="T395" s="63"/>
      <c r="U395" s="318"/>
      <c r="V395" s="318"/>
      <c r="W395" s="318"/>
      <c r="X395" s="318"/>
      <c r="Y395" s="318"/>
      <c r="Z395" s="318"/>
      <c r="AA395" s="318"/>
      <c r="AB395" s="318"/>
      <c r="AC395" s="318"/>
    </row>
    <row r="396" spans="1:29" ht="13.5">
      <c r="A396" s="28" t="str">
        <f>配置表!L395</f>
        <v/>
      </c>
      <c r="B396" s="9">
        <f>配置表!M395</f>
        <v>46109</v>
      </c>
      <c r="C396" s="10" t="str">
        <f>配置表!N395</f>
        <v>土</v>
      </c>
      <c r="D396" s="63" t="str">
        <f>配置表!O395</f>
        <v>春　特別展</v>
      </c>
      <c r="E396" s="63" t="str">
        <f>配置表!P395</f>
        <v>テーマ展</v>
      </c>
      <c r="F396" s="44" t="str">
        <f>配置表!Q395</f>
        <v>○</v>
      </c>
      <c r="G396" s="10">
        <f>配置表!R395</f>
        <v>0</v>
      </c>
      <c r="H396" s="10" t="str">
        <f>配置表!S395</f>
        <v>○</v>
      </c>
      <c r="I396" s="45">
        <f>配置表!T395</f>
        <v>0</v>
      </c>
      <c r="J396" s="10" t="str">
        <f>配置表!U395</f>
        <v>●</v>
      </c>
      <c r="K396" s="32">
        <f>配置表!V395</f>
        <v>0</v>
      </c>
      <c r="L396" s="33" t="str">
        <f>配置表!W395</f>
        <v>◎</v>
      </c>
      <c r="M396" s="8">
        <f>配置表!X395</f>
        <v>0</v>
      </c>
      <c r="N396" s="33" t="str">
        <f>配置表!Y395</f>
        <v>○</v>
      </c>
      <c r="O396" s="8">
        <f>配置表!Z395</f>
        <v>5</v>
      </c>
      <c r="P396" s="33" t="str">
        <f>配置表!AA395</f>
        <v>○</v>
      </c>
      <c r="Q396" s="227">
        <f>配置表!AB395</f>
        <v>0.41666666666666669</v>
      </c>
      <c r="R396" s="227">
        <f>配置表!AC395</f>
        <v>0.70833333333333337</v>
      </c>
      <c r="S396" s="238" t="str">
        <f>配置表!AD395</f>
        <v/>
      </c>
      <c r="T396" s="63"/>
      <c r="U396" s="39"/>
      <c r="V396" s="319"/>
      <c r="W396" s="319"/>
      <c r="X396" s="326"/>
      <c r="Y396" s="321"/>
      <c r="Z396" s="26"/>
      <c r="AA396" s="327"/>
      <c r="AB396" s="323"/>
      <c r="AC396" s="323"/>
    </row>
    <row r="397" spans="1:29" ht="13.5">
      <c r="A397" s="28" t="str">
        <f>配置表!L396</f>
        <v/>
      </c>
      <c r="B397" s="9">
        <f>配置表!M396</f>
        <v>46110</v>
      </c>
      <c r="C397" s="10" t="str">
        <f>配置表!N396</f>
        <v>日</v>
      </c>
      <c r="D397" s="63" t="str">
        <f>配置表!O396</f>
        <v>春　特別展</v>
      </c>
      <c r="E397" s="63" t="str">
        <f>配置表!P396</f>
        <v>テーマ展</v>
      </c>
      <c r="F397" s="44" t="str">
        <f>配置表!Q396</f>
        <v>○</v>
      </c>
      <c r="G397" s="10">
        <f>配置表!R396</f>
        <v>0</v>
      </c>
      <c r="H397" s="10" t="str">
        <f>配置表!S396</f>
        <v>○</v>
      </c>
      <c r="I397" s="45">
        <f>配置表!T396</f>
        <v>0</v>
      </c>
      <c r="J397" s="10" t="str">
        <f>配置表!U396</f>
        <v>●</v>
      </c>
      <c r="K397" s="32">
        <f>配置表!V396</f>
        <v>0</v>
      </c>
      <c r="L397" s="33" t="str">
        <f>配置表!W396</f>
        <v>◎</v>
      </c>
      <c r="M397" s="8">
        <f>配置表!X396</f>
        <v>0</v>
      </c>
      <c r="N397" s="33" t="str">
        <f>配置表!Y396</f>
        <v>○</v>
      </c>
      <c r="O397" s="8">
        <f>配置表!Z396</f>
        <v>5</v>
      </c>
      <c r="P397" s="33" t="str">
        <f>配置表!AA396</f>
        <v>○</v>
      </c>
      <c r="Q397" s="227">
        <f>配置表!AB396</f>
        <v>0.41666666666666669</v>
      </c>
      <c r="R397" s="227">
        <f>配置表!AC396</f>
        <v>0.70833333333333337</v>
      </c>
      <c r="S397" s="238" t="str">
        <f>配置表!AD396</f>
        <v/>
      </c>
      <c r="T397" s="63"/>
      <c r="U397" s="4"/>
      <c r="V397" s="162"/>
      <c r="W397" s="162"/>
      <c r="X397" s="4"/>
      <c r="Y397" s="4"/>
      <c r="Z397" s="4"/>
      <c r="AA397" s="4"/>
      <c r="AB397" s="324"/>
      <c r="AC397" s="325"/>
    </row>
    <row r="398" spans="1:29">
      <c r="A398" s="28" t="str">
        <f>配置表!L397</f>
        <v>閉</v>
      </c>
      <c r="B398" s="9">
        <f>配置表!M397</f>
        <v>46111</v>
      </c>
      <c r="C398" s="10" t="str">
        <f>配置表!N397</f>
        <v>月</v>
      </c>
      <c r="D398" s="63" t="str">
        <f>配置表!O397</f>
        <v>春　特別展</v>
      </c>
      <c r="E398" s="63" t="str">
        <f>配置表!P397</f>
        <v>テーマ展</v>
      </c>
      <c r="F398" s="44" t="str">
        <f>配置表!Q397</f>
        <v>休</v>
      </c>
      <c r="G398" s="10">
        <f>配置表!R397</f>
        <v>0</v>
      </c>
      <c r="H398" s="10" t="str">
        <f>配置表!S397</f>
        <v>休</v>
      </c>
      <c r="I398" s="45">
        <f>配置表!T397</f>
        <v>0</v>
      </c>
      <c r="J398" s="10" t="str">
        <f>配置表!U397</f>
        <v>休</v>
      </c>
      <c r="K398" s="32">
        <f>配置表!V397</f>
        <v>0</v>
      </c>
      <c r="L398" s="33" t="str">
        <f>配置表!W397</f>
        <v>休</v>
      </c>
      <c r="M398" s="8">
        <f>配置表!X397</f>
        <v>0</v>
      </c>
      <c r="N398" s="33" t="str">
        <f>配置表!Y397</f>
        <v>休</v>
      </c>
      <c r="O398" s="8" t="str">
        <f>配置表!Z397</f>
        <v/>
      </c>
      <c r="P398" s="33" t="str">
        <f>配置表!AA397</f>
        <v>休</v>
      </c>
      <c r="Q398" s="227" t="str">
        <f>配置表!AB397</f>
        <v/>
      </c>
      <c r="R398" s="227" t="str">
        <f>配置表!AC397</f>
        <v/>
      </c>
      <c r="S398" s="238" t="str">
        <f>配置表!AD397</f>
        <v/>
      </c>
      <c r="T398" s="63"/>
      <c r="U398" s="4"/>
      <c r="V398" s="162"/>
      <c r="W398" s="162"/>
      <c r="X398" s="4"/>
      <c r="Y398" s="4"/>
      <c r="Z398" s="4"/>
      <c r="AA398" s="4"/>
      <c r="AB398" s="4"/>
      <c r="AC398" s="4"/>
    </row>
    <row r="399" spans="1:29" ht="12" thickBot="1">
      <c r="A399" s="28" t="str">
        <f>配置表!L398</f>
        <v/>
      </c>
      <c r="B399" s="29">
        <f>配置表!M398</f>
        <v>46112</v>
      </c>
      <c r="C399" s="22" t="str">
        <f>配置表!N398</f>
        <v>火</v>
      </c>
      <c r="D399" s="65" t="str">
        <f>配置表!O398</f>
        <v>春　特別展</v>
      </c>
      <c r="E399" s="65" t="str">
        <f>配置表!P398</f>
        <v>テーマ展</v>
      </c>
      <c r="F399" s="40" t="str">
        <f>配置表!Q398</f>
        <v>○</v>
      </c>
      <c r="G399" s="27">
        <f>配置表!R398</f>
        <v>0</v>
      </c>
      <c r="H399" s="34" t="str">
        <f>配置表!S398</f>
        <v/>
      </c>
      <c r="I399" s="27">
        <f>配置表!T398</f>
        <v>0</v>
      </c>
      <c r="J399" s="34" t="str">
        <f>配置表!U398</f>
        <v>●</v>
      </c>
      <c r="K399" s="27">
        <f>配置表!V398</f>
        <v>0</v>
      </c>
      <c r="L399" s="34" t="str">
        <f>配置表!W398</f>
        <v>○</v>
      </c>
      <c r="M399" s="27">
        <f>配置表!X398</f>
        <v>0</v>
      </c>
      <c r="N399" s="34" t="str">
        <f>配置表!Y398</f>
        <v>○</v>
      </c>
      <c r="O399" s="27">
        <f>配置表!Z398</f>
        <v>5</v>
      </c>
      <c r="P399" s="34" t="str">
        <f>配置表!AA398</f>
        <v>○</v>
      </c>
      <c r="Q399" s="233">
        <f>配置表!AB398</f>
        <v>0.41666666666666669</v>
      </c>
      <c r="R399" s="233">
        <f>配置表!AC398</f>
        <v>0.70833333333333337</v>
      </c>
      <c r="S399" s="239" t="str">
        <f>配置表!AD398</f>
        <v/>
      </c>
      <c r="T399" s="63"/>
    </row>
    <row r="400" spans="1:29" s="18" customFormat="1" ht="13.5">
      <c r="B400" s="7"/>
      <c r="C400" s="10"/>
      <c r="D400" s="8"/>
      <c r="E400" s="8"/>
      <c r="F400" s="24">
        <f>COUNTIF(F369:F399,"○")</f>
        <v>19</v>
      </c>
      <c r="G400" s="10"/>
      <c r="H400" s="8"/>
      <c r="I400" s="8"/>
      <c r="J400" s="8"/>
      <c r="K400" s="8"/>
      <c r="L400" s="10"/>
      <c r="M400" s="8"/>
      <c r="N400" s="10"/>
      <c r="O400" s="400">
        <f>SUM(O369:O399,O338:O366,O305:O335,O272:O302,O239:O269,O206:O236,O173:O203,O140:O170,O107:O137,O74:O104,O41:O71,O8:O38)</f>
        <v>1344</v>
      </c>
      <c r="P400" s="401"/>
      <c r="Q400" s="8"/>
      <c r="R400" s="8"/>
      <c r="S400" s="8"/>
      <c r="T400" s="8"/>
      <c r="V400" s="157"/>
      <c r="W400" s="157"/>
    </row>
    <row r="401" spans="2:29" s="18" customFormat="1" ht="12.75" customHeight="1" thickBot="1">
      <c r="B401" s="7"/>
      <c r="C401" s="10"/>
      <c r="D401" s="8"/>
      <c r="E401" s="8"/>
      <c r="F401" s="10"/>
      <c r="G401" s="10"/>
      <c r="H401" s="10"/>
      <c r="I401" s="10"/>
      <c r="J401" s="10"/>
      <c r="K401" s="8"/>
      <c r="L401" s="10"/>
      <c r="M401" s="8"/>
      <c r="N401" s="10"/>
      <c r="O401" s="8"/>
      <c r="P401" s="10"/>
      <c r="Q401" s="8"/>
      <c r="R401" s="8"/>
      <c r="S401" s="8"/>
      <c r="T401" s="8"/>
      <c r="V401" s="157"/>
      <c r="W401" s="157"/>
    </row>
    <row r="402" spans="2:29" s="18" customFormat="1" ht="15" customHeight="1" thickBot="1">
      <c r="B402" s="7"/>
      <c r="C402" s="10"/>
      <c r="D402" s="8"/>
      <c r="E402" s="371" t="s">
        <v>12</v>
      </c>
      <c r="F402" s="372"/>
      <c r="G402" s="374" t="s">
        <v>13</v>
      </c>
      <c r="H402" s="375"/>
      <c r="I402" s="374" t="s">
        <v>14</v>
      </c>
      <c r="J402" s="375"/>
      <c r="K402" s="374" t="s">
        <v>18</v>
      </c>
      <c r="L402" s="375"/>
      <c r="M402" s="374" t="s">
        <v>19</v>
      </c>
      <c r="N402" s="375"/>
      <c r="O402" s="371" t="s">
        <v>1</v>
      </c>
      <c r="P402" s="373"/>
      <c r="Q402" s="372"/>
      <c r="R402" s="10"/>
      <c r="S402" s="10"/>
      <c r="T402" s="10"/>
      <c r="V402" s="157"/>
      <c r="W402" s="157"/>
    </row>
    <row r="403" spans="2:29" ht="15" customHeight="1" thickBot="1">
      <c r="B403" s="13"/>
      <c r="C403" s="4"/>
      <c r="D403" s="5"/>
      <c r="E403" s="84"/>
      <c r="F403" s="85" t="s">
        <v>11</v>
      </c>
      <c r="G403" s="86"/>
      <c r="H403" s="85" t="s">
        <v>3</v>
      </c>
      <c r="I403" s="87"/>
      <c r="J403" s="85" t="s">
        <v>3</v>
      </c>
      <c r="K403" s="84"/>
      <c r="L403" s="85" t="s">
        <v>3</v>
      </c>
      <c r="M403" s="84"/>
      <c r="N403" s="85" t="s">
        <v>3</v>
      </c>
      <c r="O403" s="84"/>
      <c r="P403" s="87" t="s">
        <v>3</v>
      </c>
      <c r="Q403" s="85" t="s">
        <v>4</v>
      </c>
      <c r="R403" s="162"/>
      <c r="S403" s="162"/>
      <c r="T403" s="162"/>
      <c r="V403" s="281" t="s">
        <v>110</v>
      </c>
      <c r="W403" s="282" t="s">
        <v>125</v>
      </c>
      <c r="X403" s="283"/>
      <c r="Y403" s="283"/>
      <c r="Z403" s="284"/>
      <c r="AA403" s="285" t="s">
        <v>137</v>
      </c>
      <c r="AB403" s="283"/>
      <c r="AC403" s="284"/>
    </row>
    <row r="404" spans="2:29" ht="15" customHeight="1">
      <c r="B404" s="13"/>
      <c r="C404" s="4"/>
      <c r="D404" s="5"/>
      <c r="E404" s="20"/>
      <c r="F404" s="89">
        <f>COUNTIF($F$8:$F$399,E404)</f>
        <v>0</v>
      </c>
      <c r="G404" s="20"/>
      <c r="H404" s="89">
        <f>COUNTIF(H8:H399,G404)</f>
        <v>0</v>
      </c>
      <c r="I404" s="20" t="s">
        <v>46</v>
      </c>
      <c r="J404" s="89">
        <f>COUNTIF(J8:J399,I404)</f>
        <v>300</v>
      </c>
      <c r="K404" s="20"/>
      <c r="L404" s="89"/>
      <c r="M404" s="20"/>
      <c r="N404" s="89">
        <f>COUNTIF(N8:N399,M404)</f>
        <v>0</v>
      </c>
      <c r="O404" s="20" t="s">
        <v>46</v>
      </c>
      <c r="P404" s="88">
        <f>COUNTIF(P8:P399,O404)</f>
        <v>0</v>
      </c>
      <c r="Q404" s="89">
        <f>SUMIF($P$8:$P$399,O404,$O$8:$O$399)</f>
        <v>0</v>
      </c>
      <c r="R404" s="88"/>
      <c r="S404" s="88"/>
      <c r="T404" s="88"/>
      <c r="V404" s="265"/>
      <c r="W404" s="276" t="s">
        <v>107</v>
      </c>
      <c r="X404" s="291" t="s">
        <v>109</v>
      </c>
      <c r="Y404" s="393" t="s">
        <v>112</v>
      </c>
      <c r="Z404" s="394"/>
      <c r="AA404" s="292" t="s">
        <v>107</v>
      </c>
      <c r="AB404" s="293" t="s">
        <v>108</v>
      </c>
      <c r="AC404" s="294" t="s">
        <v>111</v>
      </c>
    </row>
    <row r="405" spans="2:29" ht="15" customHeight="1">
      <c r="B405"/>
      <c r="E405" s="306" t="s">
        <v>7</v>
      </c>
      <c r="F405" s="307">
        <f>COUNTIF(F8:F399,E405)</f>
        <v>300</v>
      </c>
      <c r="G405" s="20" t="s">
        <v>7</v>
      </c>
      <c r="H405" s="89">
        <f>COUNTIF(H8:H399,G405)</f>
        <v>78</v>
      </c>
      <c r="I405" s="20"/>
      <c r="J405" s="89">
        <f>COUNTIF(J8:J399,I405)</f>
        <v>0</v>
      </c>
      <c r="K405" s="20" t="s">
        <v>7</v>
      </c>
      <c r="L405" s="89">
        <f>COUNTIF(L8:L399,K405)</f>
        <v>116</v>
      </c>
      <c r="M405" s="20" t="s">
        <v>7</v>
      </c>
      <c r="N405" s="89">
        <f>COUNTIF(N8:N399,M405)</f>
        <v>300</v>
      </c>
      <c r="O405" s="306" t="s">
        <v>7</v>
      </c>
      <c r="P405" s="308">
        <f>COUNTIF(P8:P399,O405)</f>
        <v>261</v>
      </c>
      <c r="Q405" s="309">
        <f>SUMIF($P$8:$P$399,O405,$O$8:$O$399)</f>
        <v>1305</v>
      </c>
      <c r="R405" s="163"/>
      <c r="S405" s="163"/>
      <c r="T405" s="163"/>
      <c r="V405" s="86">
        <v>4</v>
      </c>
      <c r="W405" s="277">
        <v>25</v>
      </c>
      <c r="X405" s="211">
        <v>1857.5</v>
      </c>
      <c r="Y405" s="391"/>
      <c r="Z405" s="395"/>
      <c r="AA405" s="280">
        <f>F39</f>
        <v>26</v>
      </c>
      <c r="AB405" s="211">
        <f>AA25</f>
        <v>1748</v>
      </c>
      <c r="AC405" s="278">
        <f>AC26</f>
        <v>0</v>
      </c>
    </row>
    <row r="406" spans="2:29" ht="15" customHeight="1">
      <c r="B406"/>
      <c r="E406" s="20"/>
      <c r="F406" s="89"/>
      <c r="G406" s="20"/>
      <c r="H406" s="89">
        <f>COUNTIF(H8:H399,G406)</f>
        <v>0</v>
      </c>
      <c r="I406" s="13"/>
      <c r="J406" s="88"/>
      <c r="K406" s="20" t="s">
        <v>15</v>
      </c>
      <c r="L406" s="89">
        <f>COUNTIF(L8:L399,K406)</f>
        <v>105</v>
      </c>
      <c r="M406" s="20"/>
      <c r="N406" s="89">
        <f>COUNTIF(N8:N399,M406)</f>
        <v>0</v>
      </c>
      <c r="O406" s="20"/>
      <c r="P406" s="88">
        <f>COUNTIF(P8:P399,O406)</f>
        <v>0</v>
      </c>
      <c r="Q406" s="90">
        <f>SUMIF($P$8:$P$399,O406,$O$8:$O$399)</f>
        <v>0</v>
      </c>
      <c r="R406" s="163"/>
      <c r="S406" s="163"/>
      <c r="T406" s="163"/>
      <c r="V406" s="86">
        <v>5</v>
      </c>
      <c r="W406" s="277">
        <v>27</v>
      </c>
      <c r="X406" s="211">
        <v>1839.5</v>
      </c>
      <c r="Y406" s="391"/>
      <c r="Z406" s="395"/>
      <c r="AA406" s="280">
        <f>F72</f>
        <v>27</v>
      </c>
      <c r="AB406" s="211">
        <f>AA58</f>
        <v>1642.25</v>
      </c>
      <c r="AC406" s="279">
        <f>AC59</f>
        <v>0</v>
      </c>
    </row>
    <row r="407" spans="2:29" ht="15" customHeight="1">
      <c r="B407"/>
      <c r="E407" s="20"/>
      <c r="F407" s="89"/>
      <c r="G407" s="20"/>
      <c r="H407" s="88"/>
      <c r="I407" s="20"/>
      <c r="J407" s="89"/>
      <c r="K407" s="13"/>
      <c r="L407" s="88"/>
      <c r="M407" s="20"/>
      <c r="N407" s="89"/>
      <c r="O407" s="13" t="s">
        <v>94</v>
      </c>
      <c r="P407" s="88">
        <f>COUNTIF(P8:P399,O407)+P408</f>
        <v>39</v>
      </c>
      <c r="Q407" s="90">
        <f>SUMIF($P$8:$P$399,O407,$O$8:$O$399)+Q408</f>
        <v>39</v>
      </c>
      <c r="R407" s="163"/>
      <c r="S407" s="163"/>
      <c r="T407" s="163"/>
      <c r="V407" s="86">
        <v>6</v>
      </c>
      <c r="W407" s="277">
        <v>26</v>
      </c>
      <c r="X407" s="211">
        <v>1533</v>
      </c>
      <c r="Y407" s="391"/>
      <c r="Z407" s="392"/>
      <c r="AA407" s="280">
        <f>F105</f>
        <v>25</v>
      </c>
      <c r="AB407" s="211">
        <f>AA91</f>
        <v>1501.25</v>
      </c>
      <c r="AC407" s="279">
        <f>AC92</f>
        <v>0</v>
      </c>
    </row>
    <row r="408" spans="2:29" ht="15" customHeight="1" thickBot="1">
      <c r="B408"/>
      <c r="E408" s="20"/>
      <c r="F408" s="89"/>
      <c r="G408" s="20"/>
      <c r="H408" s="88"/>
      <c r="I408" s="20"/>
      <c r="J408" s="89"/>
      <c r="K408" s="4"/>
      <c r="L408" s="91"/>
      <c r="M408" s="20"/>
      <c r="N408" s="89"/>
      <c r="O408" s="13" t="s">
        <v>93</v>
      </c>
      <c r="P408" s="88">
        <f>COUNTIF(P8:P399,O408)</f>
        <v>0</v>
      </c>
      <c r="Q408" s="90">
        <f>SUMIF($P$8:$P$399,O408,$O$8:$O$399)</f>
        <v>0</v>
      </c>
      <c r="R408" s="163"/>
      <c r="S408" s="163"/>
      <c r="T408" s="163"/>
      <c r="V408" s="86">
        <v>7</v>
      </c>
      <c r="W408" s="277">
        <v>26</v>
      </c>
      <c r="X408" s="211">
        <v>1748</v>
      </c>
      <c r="Y408" s="391"/>
      <c r="Z408" s="392"/>
      <c r="AA408" s="280">
        <f>F138</f>
        <v>27</v>
      </c>
      <c r="AB408" s="211">
        <f>AA124</f>
        <v>1813.5</v>
      </c>
      <c r="AC408" s="279">
        <f>AC125</f>
        <v>0</v>
      </c>
    </row>
    <row r="409" spans="2:29" ht="15" customHeight="1" thickTop="1" thickBot="1">
      <c r="E409" s="79" t="s">
        <v>47</v>
      </c>
      <c r="F409" s="92">
        <f>SUM(F404:F408)</f>
        <v>300</v>
      </c>
      <c r="G409" s="96"/>
      <c r="H409" s="97">
        <f>SUM(H404:H408)</f>
        <v>78</v>
      </c>
      <c r="I409" s="98"/>
      <c r="J409" s="99">
        <f>SUM(J404:J408)</f>
        <v>300</v>
      </c>
      <c r="K409" s="97"/>
      <c r="L409" s="97">
        <f>SUM(L404:L408)</f>
        <v>221</v>
      </c>
      <c r="M409" s="98"/>
      <c r="N409" s="99">
        <f>SUM(N404:N408)</f>
        <v>300</v>
      </c>
      <c r="O409" s="97"/>
      <c r="P409" s="97">
        <f>SUM(P404:P408)</f>
        <v>300</v>
      </c>
      <c r="Q409" s="99">
        <f>SUM(Q404:Q408)</f>
        <v>1344</v>
      </c>
      <c r="R409" s="164"/>
      <c r="S409" s="164"/>
      <c r="T409" s="164"/>
      <c r="V409" s="86">
        <v>8</v>
      </c>
      <c r="W409" s="277">
        <v>27</v>
      </c>
      <c r="X409" s="211">
        <v>1638.5</v>
      </c>
      <c r="Y409" s="391"/>
      <c r="Z409" s="392"/>
      <c r="AA409" s="280">
        <f>F171</f>
        <v>27</v>
      </c>
      <c r="AB409" s="211">
        <f>AA157</f>
        <v>1602</v>
      </c>
      <c r="AC409" s="279">
        <f>AC158</f>
        <v>0</v>
      </c>
    </row>
    <row r="410" spans="2:29" ht="15" customHeight="1" thickBot="1">
      <c r="V410" s="86">
        <v>9</v>
      </c>
      <c r="W410" s="277">
        <v>25</v>
      </c>
      <c r="X410" s="211">
        <v>1512.5</v>
      </c>
      <c r="Y410" s="391"/>
      <c r="Z410" s="392"/>
      <c r="AA410" s="280">
        <f>F204</f>
        <v>25</v>
      </c>
      <c r="AB410" s="211">
        <f>AA190</f>
        <v>1546.5</v>
      </c>
      <c r="AC410" s="279">
        <f>AC192</f>
        <v>0</v>
      </c>
    </row>
    <row r="411" spans="2:29" ht="15" customHeight="1">
      <c r="E411" s="371" t="s">
        <v>12</v>
      </c>
      <c r="F411" s="372"/>
      <c r="G411" s="374" t="s">
        <v>13</v>
      </c>
      <c r="H411" s="375"/>
      <c r="I411" s="374" t="s">
        <v>14</v>
      </c>
      <c r="J411" s="375"/>
      <c r="K411" s="374" t="s">
        <v>18</v>
      </c>
      <c r="L411" s="375"/>
      <c r="M411" s="374" t="s">
        <v>19</v>
      </c>
      <c r="N411" s="375"/>
      <c r="O411" s="371" t="s">
        <v>1</v>
      </c>
      <c r="P411" s="373"/>
      <c r="Q411" s="372"/>
      <c r="R411" s="10"/>
      <c r="S411" s="10"/>
      <c r="T411" s="10"/>
      <c r="V411" s="86">
        <v>10</v>
      </c>
      <c r="W411" s="277">
        <v>27</v>
      </c>
      <c r="X411" s="211">
        <v>1813.5</v>
      </c>
      <c r="Y411" s="391"/>
      <c r="Z411" s="392"/>
      <c r="AA411" s="280">
        <f>F237</f>
        <v>27</v>
      </c>
      <c r="AB411" s="211">
        <f>AA223</f>
        <v>1813.5</v>
      </c>
      <c r="AC411" s="279">
        <f>AC224</f>
        <v>0</v>
      </c>
    </row>
    <row r="412" spans="2:29" ht="15" customHeight="1">
      <c r="E412" s="84"/>
      <c r="F412" s="107" t="s">
        <v>48</v>
      </c>
      <c r="G412" s="86"/>
      <c r="H412" s="107" t="s">
        <v>48</v>
      </c>
      <c r="I412" s="87"/>
      <c r="J412" s="107" t="s">
        <v>48</v>
      </c>
      <c r="K412" s="84"/>
      <c r="L412" s="107" t="s">
        <v>48</v>
      </c>
      <c r="M412" s="84"/>
      <c r="N412" s="107" t="s">
        <v>48</v>
      </c>
      <c r="O412" s="84"/>
      <c r="P412" s="108" t="s">
        <v>48</v>
      </c>
      <c r="Q412" s="85"/>
      <c r="R412" s="162"/>
      <c r="S412" s="162"/>
      <c r="T412" s="162"/>
      <c r="V412" s="86">
        <v>11</v>
      </c>
      <c r="W412" s="277">
        <v>26</v>
      </c>
      <c r="X412" s="211">
        <v>1573</v>
      </c>
      <c r="Y412" s="391"/>
      <c r="Z412" s="392"/>
      <c r="AA412" s="280">
        <f>F270</f>
        <v>26</v>
      </c>
      <c r="AB412" s="211">
        <f>AA256</f>
        <v>1576.75</v>
      </c>
      <c r="AC412" s="279">
        <f>AC257</f>
        <v>0</v>
      </c>
    </row>
    <row r="413" spans="2:29" ht="15" customHeight="1">
      <c r="E413" s="20"/>
      <c r="F413" s="93"/>
      <c r="G413" s="20"/>
      <c r="H413" s="93"/>
      <c r="I413" s="20" t="s">
        <v>46</v>
      </c>
      <c r="J413" s="339">
        <v>6.75</v>
      </c>
      <c r="K413" s="20"/>
      <c r="L413" s="93"/>
      <c r="M413" s="20"/>
      <c r="N413" s="93"/>
      <c r="O413" s="20" t="s">
        <v>46</v>
      </c>
      <c r="P413" s="94">
        <v>8.5</v>
      </c>
      <c r="Q413" s="93"/>
      <c r="R413" s="94"/>
      <c r="S413" s="94"/>
      <c r="T413" s="94"/>
      <c r="V413" s="86">
        <v>12</v>
      </c>
      <c r="W413" s="277">
        <v>7</v>
      </c>
      <c r="X413" s="211">
        <v>213.5</v>
      </c>
      <c r="Y413" s="391"/>
      <c r="Z413" s="392"/>
      <c r="AA413" s="280">
        <f>F303</f>
        <v>25</v>
      </c>
      <c r="AB413" s="211">
        <f>AA289</f>
        <v>1426.25</v>
      </c>
      <c r="AC413" s="279">
        <f>AC290</f>
        <v>0</v>
      </c>
    </row>
    <row r="414" spans="2:29" ht="15" customHeight="1">
      <c r="E414" s="306" t="s">
        <v>7</v>
      </c>
      <c r="F414" s="303">
        <v>8.5</v>
      </c>
      <c r="G414" s="20" t="s">
        <v>7</v>
      </c>
      <c r="H414" s="339">
        <v>5.25</v>
      </c>
      <c r="I414" s="20"/>
      <c r="J414" s="93"/>
      <c r="K414" s="20" t="s">
        <v>7</v>
      </c>
      <c r="L414" s="339">
        <v>5.25</v>
      </c>
      <c r="M414" s="20" t="s">
        <v>7</v>
      </c>
      <c r="N414" s="303">
        <v>7.5</v>
      </c>
      <c r="O414" s="306" t="s">
        <v>7</v>
      </c>
      <c r="P414" s="304">
        <v>7.5</v>
      </c>
      <c r="Q414" s="95"/>
      <c r="R414" s="165"/>
      <c r="S414" s="165"/>
      <c r="T414" s="165"/>
      <c r="V414" s="86">
        <v>1</v>
      </c>
      <c r="W414" s="277">
        <v>26</v>
      </c>
      <c r="X414" s="211">
        <v>1618</v>
      </c>
      <c r="Y414" s="391"/>
      <c r="Z414" s="392"/>
      <c r="AA414" s="280">
        <f>F336</f>
        <v>26</v>
      </c>
      <c r="AB414" s="211">
        <f>AA322</f>
        <v>1616.5</v>
      </c>
      <c r="AC414" s="279">
        <f>AC323</f>
        <v>0</v>
      </c>
    </row>
    <row r="415" spans="2:29" ht="15" customHeight="1">
      <c r="E415" s="20"/>
      <c r="F415" s="93"/>
      <c r="G415" s="20"/>
      <c r="H415" s="93"/>
      <c r="I415" s="13"/>
      <c r="J415" s="94"/>
      <c r="K415" s="20" t="s">
        <v>67</v>
      </c>
      <c r="L415" s="93">
        <v>5</v>
      </c>
      <c r="M415" s="20"/>
      <c r="N415" s="303"/>
      <c r="O415" s="306"/>
      <c r="P415" s="304"/>
      <c r="Q415" s="95"/>
      <c r="R415" s="165"/>
      <c r="S415" s="165"/>
      <c r="T415" s="165"/>
      <c r="V415" s="86">
        <v>2</v>
      </c>
      <c r="W415" s="277">
        <v>24</v>
      </c>
      <c r="X415" s="211">
        <v>1502</v>
      </c>
      <c r="Y415" s="391"/>
      <c r="Z415" s="392"/>
      <c r="AA415" s="280">
        <f>F367</f>
        <v>20</v>
      </c>
      <c r="AB415" s="211">
        <f>AA355</f>
        <v>1250</v>
      </c>
      <c r="AC415" s="279">
        <f>AC356</f>
        <v>0</v>
      </c>
    </row>
    <row r="416" spans="2:29" ht="15" customHeight="1" thickBot="1">
      <c r="E416" s="20"/>
      <c r="F416" s="93"/>
      <c r="G416" s="20"/>
      <c r="H416" s="93"/>
      <c r="I416" s="13"/>
      <c r="J416" s="94"/>
      <c r="K416" s="20"/>
      <c r="L416" s="93"/>
      <c r="M416" s="20"/>
      <c r="N416" s="93"/>
      <c r="O416" s="306" t="s">
        <v>94</v>
      </c>
      <c r="P416" s="304">
        <v>7.5</v>
      </c>
      <c r="Q416" s="95"/>
      <c r="R416" s="165"/>
      <c r="S416" s="165"/>
      <c r="T416" s="165"/>
      <c r="V416" s="295">
        <v>3</v>
      </c>
      <c r="W416" s="296">
        <v>26</v>
      </c>
      <c r="X416" s="297">
        <v>1318</v>
      </c>
      <c r="Y416" s="398"/>
      <c r="Z416" s="399"/>
      <c r="AA416" s="298">
        <f>F400</f>
        <v>19</v>
      </c>
      <c r="AB416" s="297">
        <f>AA386</f>
        <v>912</v>
      </c>
      <c r="AC416" s="299">
        <f>AC388</f>
        <v>0</v>
      </c>
    </row>
    <row r="417" spans="4:31" ht="15" customHeight="1" thickTop="1" thickBot="1">
      <c r="E417" s="6"/>
      <c r="F417" s="112"/>
      <c r="G417" s="6"/>
      <c r="H417" s="112"/>
      <c r="I417" s="21"/>
      <c r="J417" s="113"/>
      <c r="K417" s="6"/>
      <c r="L417" s="112"/>
      <c r="M417" s="6"/>
      <c r="N417" s="112"/>
      <c r="O417" s="6" t="s">
        <v>92</v>
      </c>
      <c r="P417" s="340">
        <v>2.75</v>
      </c>
      <c r="Q417" s="114"/>
      <c r="R417" s="165"/>
      <c r="S417" s="165"/>
      <c r="T417" s="165"/>
      <c r="V417" s="286" t="s">
        <v>129</v>
      </c>
      <c r="W417" s="287">
        <v>292</v>
      </c>
      <c r="X417" s="288">
        <v>18167</v>
      </c>
      <c r="Y417" s="396">
        <f>SUM(Y405:Z416)</f>
        <v>0</v>
      </c>
      <c r="Z417" s="397"/>
      <c r="AA417" s="289">
        <f>SUM(AA405:AA416)</f>
        <v>300</v>
      </c>
      <c r="AB417" s="288">
        <f>SUM(AB405:AB416)</f>
        <v>18448.5</v>
      </c>
      <c r="AC417" s="290">
        <f>SUM(AC405:AC416)</f>
        <v>0</v>
      </c>
      <c r="AE417" s="216">
        <f>AC417-Y417</f>
        <v>0</v>
      </c>
    </row>
    <row r="418" spans="4:31" ht="15" customHeight="1" thickBot="1">
      <c r="AB418" s="3" t="s">
        <v>130</v>
      </c>
      <c r="AC418" s="301">
        <f>AC417-Y417</f>
        <v>0</v>
      </c>
    </row>
    <row r="419" spans="4:31" ht="15" customHeight="1">
      <c r="E419" s="371" t="s">
        <v>12</v>
      </c>
      <c r="F419" s="372"/>
      <c r="G419" s="374" t="s">
        <v>13</v>
      </c>
      <c r="H419" s="375"/>
      <c r="I419" s="374" t="s">
        <v>14</v>
      </c>
      <c r="J419" s="375"/>
      <c r="K419" s="374" t="s">
        <v>18</v>
      </c>
      <c r="L419" s="375"/>
      <c r="M419" s="374" t="s">
        <v>19</v>
      </c>
      <c r="N419" s="375"/>
      <c r="O419" s="371" t="s">
        <v>1</v>
      </c>
      <c r="P419" s="373"/>
      <c r="Q419" s="372"/>
      <c r="R419" s="10"/>
      <c r="S419" s="10"/>
      <c r="T419" s="10"/>
      <c r="AB419" s="3"/>
      <c r="AC419" s="215"/>
    </row>
    <row r="420" spans="4:31" ht="15" customHeight="1">
      <c r="E420" s="84"/>
      <c r="F420" s="107" t="s">
        <v>49</v>
      </c>
      <c r="G420" s="86"/>
      <c r="H420" s="107" t="s">
        <v>49</v>
      </c>
      <c r="I420" s="87"/>
      <c r="J420" s="107" t="s">
        <v>49</v>
      </c>
      <c r="K420" s="84"/>
      <c r="L420" s="107" t="s">
        <v>49</v>
      </c>
      <c r="M420" s="84"/>
      <c r="N420" s="107" t="s">
        <v>49</v>
      </c>
      <c r="O420" s="84"/>
      <c r="P420" s="115" t="s">
        <v>49</v>
      </c>
      <c r="Q420" s="107" t="s">
        <v>49</v>
      </c>
      <c r="R420" s="13"/>
      <c r="S420" s="13"/>
      <c r="T420" s="13"/>
      <c r="AC420" s="215"/>
    </row>
    <row r="421" spans="4:31" ht="15" customHeight="1">
      <c r="E421" s="20"/>
      <c r="F421" s="100">
        <f>F404*F413</f>
        <v>0</v>
      </c>
      <c r="G421" s="20"/>
      <c r="H421" s="100">
        <f>H404*H413</f>
        <v>0</v>
      </c>
      <c r="I421" s="20" t="s">
        <v>46</v>
      </c>
      <c r="J421" s="102">
        <f>J404*J413</f>
        <v>2025</v>
      </c>
      <c r="K421" s="20"/>
      <c r="L421" s="102"/>
      <c r="M421" s="20"/>
      <c r="N421" s="102">
        <f>N404*N413</f>
        <v>0</v>
      </c>
      <c r="O421" s="20"/>
      <c r="P421" s="103">
        <f>P404*P413</f>
        <v>0</v>
      </c>
      <c r="Q421" s="102">
        <f>Q404*P413</f>
        <v>0</v>
      </c>
      <c r="R421" s="103"/>
      <c r="S421" s="103"/>
      <c r="T421" s="103"/>
      <c r="AC421" s="216"/>
    </row>
    <row r="422" spans="4:31" ht="15" customHeight="1">
      <c r="E422" s="20" t="s">
        <v>7</v>
      </c>
      <c r="F422" s="100">
        <f>F405*F414</f>
        <v>2550</v>
      </c>
      <c r="G422" s="20" t="s">
        <v>7</v>
      </c>
      <c r="H422" s="102">
        <f>H405*H414</f>
        <v>409.5</v>
      </c>
      <c r="I422" s="20"/>
      <c r="J422" s="102">
        <f>J405*J414</f>
        <v>0</v>
      </c>
      <c r="K422" s="20" t="s">
        <v>7</v>
      </c>
      <c r="L422" s="102">
        <f>L405*L414</f>
        <v>609</v>
      </c>
      <c r="M422" s="20" t="s">
        <v>7</v>
      </c>
      <c r="N422" s="102">
        <f>N405*N414</f>
        <v>2250</v>
      </c>
      <c r="O422" s="20" t="s">
        <v>7</v>
      </c>
      <c r="P422" s="103">
        <f>P405*P414</f>
        <v>1957.5</v>
      </c>
      <c r="Q422" s="106">
        <f>Q405*P414</f>
        <v>9787.5</v>
      </c>
      <c r="R422" s="166"/>
      <c r="S422" s="166"/>
      <c r="T422" s="166"/>
    </row>
    <row r="423" spans="4:31" ht="15" customHeight="1">
      <c r="E423" s="20"/>
      <c r="F423" s="100"/>
      <c r="G423" s="20"/>
      <c r="H423" s="102">
        <f>H406*H415</f>
        <v>0</v>
      </c>
      <c r="I423" s="13"/>
      <c r="J423" s="103"/>
      <c r="K423" s="20" t="s">
        <v>67</v>
      </c>
      <c r="L423" s="102">
        <f>L406*L415</f>
        <v>525</v>
      </c>
      <c r="M423" s="20"/>
      <c r="N423" s="102">
        <f>N406*N415</f>
        <v>0</v>
      </c>
      <c r="O423" s="20"/>
      <c r="P423" s="103">
        <f>P406*P415</f>
        <v>0</v>
      </c>
      <c r="Q423" s="106">
        <f>Q406*P415</f>
        <v>0</v>
      </c>
      <c r="R423" s="166"/>
      <c r="S423" s="166"/>
      <c r="T423" s="166"/>
      <c r="AB423" s="3"/>
      <c r="AC423" s="215">
        <f>SUM(AC32,AC65,AC104,AC136,AC168,AC204,AC234,AC267,AC397)</f>
        <v>0</v>
      </c>
    </row>
    <row r="424" spans="4:31" ht="15" customHeight="1" thickBot="1">
      <c r="E424" s="20"/>
      <c r="F424" s="100"/>
      <c r="G424" s="13"/>
      <c r="H424" s="103"/>
      <c r="I424" s="20"/>
      <c r="J424" s="102"/>
      <c r="K424" s="4"/>
      <c r="L424" s="192"/>
      <c r="M424" s="20"/>
      <c r="N424" s="102"/>
      <c r="O424" s="13" t="s">
        <v>94</v>
      </c>
      <c r="P424" s="103">
        <f>P407*P416</f>
        <v>292.5</v>
      </c>
      <c r="Q424" s="106">
        <f>Q407*P416</f>
        <v>292.5</v>
      </c>
      <c r="R424" s="166"/>
      <c r="S424" s="166"/>
      <c r="T424" s="166"/>
      <c r="W424" s="157"/>
      <c r="X424" s="18"/>
      <c r="Y424" s="18"/>
    </row>
    <row r="425" spans="4:31" ht="15" customHeight="1" thickBot="1">
      <c r="E425" s="20"/>
      <c r="F425" s="100"/>
      <c r="G425" s="13"/>
      <c r="H425" s="103"/>
      <c r="I425" s="193"/>
      <c r="J425" s="194"/>
      <c r="K425" s="4"/>
      <c r="L425" s="192"/>
      <c r="M425" s="20"/>
      <c r="N425" s="102"/>
      <c r="O425" s="13" t="s">
        <v>92</v>
      </c>
      <c r="P425" s="103">
        <f t="shared" ref="P425" si="24">P408*P417</f>
        <v>0</v>
      </c>
      <c r="Q425" s="106">
        <f>Q408*P417</f>
        <v>0</v>
      </c>
      <c r="R425" s="166"/>
      <c r="S425" s="310" t="s">
        <v>139</v>
      </c>
      <c r="T425" s="2"/>
      <c r="U425" s="2"/>
      <c r="V425" s="4"/>
      <c r="W425" s="8"/>
      <c r="X425" s="8"/>
      <c r="Y425" s="8"/>
    </row>
    <row r="426" spans="4:31" ht="15" customHeight="1" thickTop="1" thickBot="1">
      <c r="D426" s="3" t="s">
        <v>138</v>
      </c>
      <c r="E426" s="79" t="s">
        <v>47</v>
      </c>
      <c r="F426" s="196">
        <f>SUM(F421:F425)</f>
        <v>2550</v>
      </c>
      <c r="G426" s="197"/>
      <c r="H426" s="198">
        <f>SUM(H421:H425)</f>
        <v>409.5</v>
      </c>
      <c r="I426" s="199"/>
      <c r="J426" s="200">
        <f>SUM(J421:J425)</f>
        <v>2025</v>
      </c>
      <c r="K426" s="201"/>
      <c r="L426" s="202">
        <f>SUM(L421:L425)</f>
        <v>1134</v>
      </c>
      <c r="M426" s="203"/>
      <c r="N426" s="204">
        <f>SUM(N421:N425)</f>
        <v>2250</v>
      </c>
      <c r="O426" s="206"/>
      <c r="P426" s="207">
        <f>SUM(P421:P425)</f>
        <v>2250</v>
      </c>
      <c r="Q426" s="273">
        <f>SUM(Q421:Q425)</f>
        <v>10080</v>
      </c>
      <c r="R426" s="205"/>
      <c r="S426" s="205">
        <f>F426+H426+J426+L426+N426+Q426</f>
        <v>18448.5</v>
      </c>
      <c r="T426" s="2"/>
      <c r="U426" s="2"/>
      <c r="V426" s="4"/>
      <c r="W426" s="19"/>
      <c r="X426" s="311"/>
      <c r="Y426" s="8"/>
    </row>
    <row r="427" spans="4:31" ht="15" customHeight="1">
      <c r="D427" s="3"/>
      <c r="E427" s="312"/>
      <c r="F427" s="313"/>
      <c r="G427" s="313"/>
      <c r="H427" s="313"/>
      <c r="I427" s="313"/>
      <c r="J427" s="313"/>
      <c r="K427" s="313"/>
      <c r="L427" s="313"/>
      <c r="M427" s="313"/>
      <c r="N427" s="313"/>
      <c r="O427" s="313"/>
      <c r="P427" s="313"/>
      <c r="Q427" s="314"/>
      <c r="R427" s="313"/>
      <c r="S427" s="313"/>
      <c r="T427" s="157"/>
      <c r="U427" s="2"/>
      <c r="V427" s="4"/>
      <c r="W427" s="19"/>
      <c r="X427" s="311"/>
      <c r="Y427" s="8"/>
    </row>
    <row r="428" spans="4:31" ht="15" customHeight="1">
      <c r="E428" s="18"/>
      <c r="F428" s="313"/>
      <c r="G428" s="313"/>
      <c r="H428" s="313"/>
      <c r="I428" s="313"/>
      <c r="J428" s="313"/>
      <c r="K428" s="313"/>
      <c r="L428" s="313"/>
      <c r="M428" s="313"/>
      <c r="N428" s="313"/>
      <c r="O428" s="313"/>
      <c r="P428" s="313"/>
      <c r="Q428" s="314"/>
      <c r="R428" s="313"/>
      <c r="S428" s="313"/>
      <c r="T428" s="157"/>
      <c r="U428" s="2"/>
      <c r="V428" s="4"/>
      <c r="W428" s="4"/>
      <c r="X428" s="4"/>
      <c r="Y428" s="4"/>
    </row>
  </sheetData>
  <mergeCells count="100">
    <mergeCell ref="O400:P400"/>
    <mergeCell ref="E419:F419"/>
    <mergeCell ref="G419:H419"/>
    <mergeCell ref="I419:J419"/>
    <mergeCell ref="K419:L419"/>
    <mergeCell ref="M419:N419"/>
    <mergeCell ref="O419:Q419"/>
    <mergeCell ref="Y417:Z417"/>
    <mergeCell ref="Y410:Z410"/>
    <mergeCell ref="E411:F411"/>
    <mergeCell ref="G411:H411"/>
    <mergeCell ref="I411:J411"/>
    <mergeCell ref="K411:L411"/>
    <mergeCell ref="M411:N411"/>
    <mergeCell ref="O411:Q411"/>
    <mergeCell ref="Y411:Z411"/>
    <mergeCell ref="Y412:Z412"/>
    <mergeCell ref="Y413:Z413"/>
    <mergeCell ref="Y414:Z414"/>
    <mergeCell ref="Y415:Z415"/>
    <mergeCell ref="Y416:Z416"/>
    <mergeCell ref="Y409:Z409"/>
    <mergeCell ref="E402:F402"/>
    <mergeCell ref="G402:H402"/>
    <mergeCell ref="I402:J402"/>
    <mergeCell ref="K402:L402"/>
    <mergeCell ref="M402:N402"/>
    <mergeCell ref="O402:Q402"/>
    <mergeCell ref="Y404:Z404"/>
    <mergeCell ref="Y405:Z405"/>
    <mergeCell ref="Y406:Z406"/>
    <mergeCell ref="Y407:Z407"/>
    <mergeCell ref="Y408:Z408"/>
    <mergeCell ref="G337:H337"/>
    <mergeCell ref="I337:J337"/>
    <mergeCell ref="K337:L337"/>
    <mergeCell ref="M337:N337"/>
    <mergeCell ref="O337:P337"/>
    <mergeCell ref="G368:H368"/>
    <mergeCell ref="I368:J368"/>
    <mergeCell ref="K368:L368"/>
    <mergeCell ref="M368:N368"/>
    <mergeCell ref="O368:P368"/>
    <mergeCell ref="G271:H271"/>
    <mergeCell ref="I271:J271"/>
    <mergeCell ref="K271:L271"/>
    <mergeCell ref="M271:N271"/>
    <mergeCell ref="O271:P271"/>
    <mergeCell ref="G304:H304"/>
    <mergeCell ref="I304:J304"/>
    <mergeCell ref="K304:L304"/>
    <mergeCell ref="M304:N304"/>
    <mergeCell ref="O304:P304"/>
    <mergeCell ref="G205:H205"/>
    <mergeCell ref="I205:J205"/>
    <mergeCell ref="K205:L205"/>
    <mergeCell ref="M205:N205"/>
    <mergeCell ref="O205:P205"/>
    <mergeCell ref="G238:H238"/>
    <mergeCell ref="I238:J238"/>
    <mergeCell ref="K238:L238"/>
    <mergeCell ref="M238:N238"/>
    <mergeCell ref="O238:P238"/>
    <mergeCell ref="G139:H139"/>
    <mergeCell ref="I139:J139"/>
    <mergeCell ref="K139:L139"/>
    <mergeCell ref="M139:N139"/>
    <mergeCell ref="O139:P139"/>
    <mergeCell ref="G172:H172"/>
    <mergeCell ref="I172:J172"/>
    <mergeCell ref="K172:L172"/>
    <mergeCell ref="M172:N172"/>
    <mergeCell ref="O172:P172"/>
    <mergeCell ref="G73:H73"/>
    <mergeCell ref="I73:J73"/>
    <mergeCell ref="K73:L73"/>
    <mergeCell ref="M73:N73"/>
    <mergeCell ref="O73:P73"/>
    <mergeCell ref="G106:H106"/>
    <mergeCell ref="I106:J106"/>
    <mergeCell ref="K106:L106"/>
    <mergeCell ref="M106:N106"/>
    <mergeCell ref="O106:P106"/>
    <mergeCell ref="G7:H7"/>
    <mergeCell ref="I7:J7"/>
    <mergeCell ref="K7:L7"/>
    <mergeCell ref="M7:N7"/>
    <mergeCell ref="O7:P7"/>
    <mergeCell ref="G40:H40"/>
    <mergeCell ref="I40:J40"/>
    <mergeCell ref="K40:L40"/>
    <mergeCell ref="M40:N40"/>
    <mergeCell ref="O40:P40"/>
    <mergeCell ref="B5:J5"/>
    <mergeCell ref="A2:Q2"/>
    <mergeCell ref="B3:H3"/>
    <mergeCell ref="B4:J4"/>
    <mergeCell ref="K3:S3"/>
    <mergeCell ref="K4:S4"/>
    <mergeCell ref="K5:S5"/>
  </mergeCells>
  <phoneticPr fontId="1"/>
  <conditionalFormatting sqref="B368:P399 B8:P365">
    <cfRule type="expression" dxfId="3" priority="4" stopIfTrue="1">
      <formula>$A8="閉"</formula>
    </cfRule>
  </conditionalFormatting>
  <conditionalFormatting sqref="B366:P366 B367:E367 G367:P367">
    <cfRule type="expression" dxfId="2" priority="3" stopIfTrue="1">
      <formula>$A366="閉"</formula>
    </cfRule>
  </conditionalFormatting>
  <conditionalFormatting sqref="F367">
    <cfRule type="expression" dxfId="1" priority="2" stopIfTrue="1">
      <formula>$A367="閉"</formula>
    </cfRule>
  </conditionalFormatting>
  <conditionalFormatting sqref="F400">
    <cfRule type="expression" dxfId="0" priority="1" stopIfTrue="1">
      <formula>$A400="閉"</formula>
    </cfRule>
  </conditionalFormatting>
  <printOptions horizontalCentered="1"/>
  <pageMargins left="0.19685039370078741" right="0.19685039370078741" top="0.78740157480314965" bottom="0.19685039370078741" header="0" footer="0"/>
  <pageSetup paperSize="9" scale="84" fitToHeight="12" orientation="landscape" r:id="rId1"/>
  <headerFooter alignWithMargins="0">
    <oddFooter>&amp;C&amp;"ＭＳ ゴシック,標準"&amp;9&amp;P/&amp;N</oddFooter>
  </headerFooter>
  <rowBreaks count="12" manualBreakCount="12">
    <brk id="39" max="28" man="1"/>
    <brk id="72" max="28" man="1"/>
    <brk id="105" max="28" man="1"/>
    <brk id="138" max="28" man="1"/>
    <brk id="171" max="28" man="1"/>
    <brk id="204" max="28" man="1"/>
    <brk id="237" max="28" man="1"/>
    <brk id="270" max="28" man="1"/>
    <brk id="303" max="28" man="1"/>
    <brk id="336" max="28" man="1"/>
    <brk id="367" max="28" man="1"/>
    <brk id="400" max="2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
  <sheetViews>
    <sheetView showRuler="0" view="pageBreakPreview" zoomScale="90" zoomScaleNormal="100" zoomScaleSheetLayoutView="90" zoomScalePageLayoutView="90" workbookViewId="0">
      <selection activeCell="G23" sqref="G23"/>
    </sheetView>
  </sheetViews>
  <sheetFormatPr defaultRowHeight="13.5"/>
  <cols>
    <col min="1" max="1" width="12.625" bestFit="1" customWidth="1"/>
    <col min="2" max="2" width="19.375" customWidth="1"/>
    <col min="3" max="3" width="4.375" customWidth="1"/>
    <col min="5" max="6" width="12.625" bestFit="1" customWidth="1"/>
    <col min="7" max="8" width="9.875" customWidth="1"/>
    <col min="10" max="10" width="2.625" customWidth="1"/>
    <col min="11" max="11" width="11.375" bestFit="1" customWidth="1"/>
    <col min="12" max="12" width="11.625" bestFit="1" customWidth="1"/>
    <col min="15" max="15" width="3.625" customWidth="1"/>
    <col min="17" max="18" width="10.5" bestFit="1" customWidth="1"/>
  </cols>
  <sheetData>
    <row r="1" spans="1:21">
      <c r="A1" s="72" t="s">
        <v>20</v>
      </c>
      <c r="B1" s="72"/>
      <c r="C1" s="72"/>
      <c r="E1" s="72" t="s">
        <v>36</v>
      </c>
      <c r="F1" s="72"/>
      <c r="G1" s="72"/>
      <c r="H1" s="72"/>
      <c r="K1" s="72" t="s">
        <v>97</v>
      </c>
      <c r="L1" s="72"/>
      <c r="M1" s="72"/>
      <c r="N1" s="72"/>
      <c r="O1" s="72"/>
    </row>
    <row r="2" spans="1:21">
      <c r="A2" s="72" t="s">
        <v>37</v>
      </c>
      <c r="B2" s="72" t="s">
        <v>38</v>
      </c>
      <c r="C2" s="72"/>
      <c r="E2" s="72" t="s">
        <v>39</v>
      </c>
      <c r="F2" s="72" t="s">
        <v>40</v>
      </c>
      <c r="G2" s="72" t="s">
        <v>41</v>
      </c>
      <c r="H2" s="72" t="s">
        <v>45</v>
      </c>
      <c r="K2" s="76" t="s">
        <v>39</v>
      </c>
      <c r="L2" s="76" t="s">
        <v>40</v>
      </c>
      <c r="M2" s="76" t="s">
        <v>42</v>
      </c>
      <c r="N2" s="76" t="s">
        <v>43</v>
      </c>
      <c r="O2" s="76" t="s">
        <v>44</v>
      </c>
    </row>
    <row r="3" spans="1:21">
      <c r="A3" s="71">
        <v>45776</v>
      </c>
      <c r="B3" s="72" t="s">
        <v>21</v>
      </c>
      <c r="C3" s="72">
        <v>1</v>
      </c>
      <c r="E3" s="71">
        <v>45731</v>
      </c>
      <c r="F3" s="71">
        <v>45802</v>
      </c>
      <c r="G3" s="72" t="s">
        <v>55</v>
      </c>
      <c r="H3" s="76">
        <v>4</v>
      </c>
      <c r="K3" s="71">
        <v>45748</v>
      </c>
      <c r="L3" s="71">
        <v>46112</v>
      </c>
      <c r="M3" s="77">
        <v>0.41666666666666669</v>
      </c>
      <c r="N3" s="77">
        <v>0.70833333333333337</v>
      </c>
      <c r="O3" s="72">
        <v>1</v>
      </c>
    </row>
    <row r="4" spans="1:21">
      <c r="A4" s="71">
        <v>45780</v>
      </c>
      <c r="B4" s="72" t="s">
        <v>22</v>
      </c>
      <c r="C4" s="72">
        <v>1</v>
      </c>
      <c r="E4" s="71">
        <v>45815</v>
      </c>
      <c r="F4" s="71">
        <v>45893</v>
      </c>
      <c r="G4" s="72" t="s">
        <v>56</v>
      </c>
      <c r="H4" s="76">
        <v>4</v>
      </c>
      <c r="K4" s="71"/>
      <c r="L4" s="71"/>
      <c r="M4" s="77"/>
      <c r="N4" s="77"/>
      <c r="O4" s="72"/>
    </row>
    <row r="5" spans="1:21">
      <c r="A5" s="71">
        <v>45781</v>
      </c>
      <c r="B5" s="72" t="s">
        <v>23</v>
      </c>
      <c r="C5" s="72">
        <v>1</v>
      </c>
      <c r="E5" s="71">
        <v>45906</v>
      </c>
      <c r="F5" s="71">
        <v>45985</v>
      </c>
      <c r="G5" s="72" t="s">
        <v>57</v>
      </c>
      <c r="H5" s="76">
        <v>4</v>
      </c>
      <c r="K5" s="72"/>
      <c r="L5" s="72"/>
      <c r="M5" s="72"/>
      <c r="N5" s="72"/>
      <c r="O5" s="72"/>
    </row>
    <row r="6" spans="1:21">
      <c r="A6" s="71">
        <v>45782</v>
      </c>
      <c r="B6" s="72" t="s">
        <v>24</v>
      </c>
      <c r="C6" s="72">
        <v>1</v>
      </c>
      <c r="E6" s="71">
        <v>45997</v>
      </c>
      <c r="F6" s="71">
        <v>46076</v>
      </c>
      <c r="G6" s="72" t="s">
        <v>58</v>
      </c>
      <c r="H6" s="76">
        <v>4</v>
      </c>
      <c r="K6" s="72"/>
      <c r="L6" s="72"/>
      <c r="M6" s="72"/>
      <c r="N6" s="72"/>
      <c r="O6" s="72"/>
    </row>
    <row r="7" spans="1:21">
      <c r="A7" s="71">
        <v>45783</v>
      </c>
      <c r="B7" s="72" t="s">
        <v>96</v>
      </c>
      <c r="C7" s="72">
        <v>1</v>
      </c>
      <c r="E7" s="71">
        <v>46102</v>
      </c>
      <c r="F7" s="71">
        <v>46173</v>
      </c>
      <c r="G7" s="72" t="s">
        <v>55</v>
      </c>
      <c r="H7" s="76">
        <v>4</v>
      </c>
    </row>
    <row r="8" spans="1:21">
      <c r="A8" s="71">
        <v>45859</v>
      </c>
      <c r="B8" s="72" t="s">
        <v>25</v>
      </c>
      <c r="C8" s="72">
        <v>1</v>
      </c>
      <c r="E8" s="72"/>
      <c r="F8" s="72"/>
      <c r="G8" s="72"/>
      <c r="H8" s="76"/>
    </row>
    <row r="9" spans="1:21">
      <c r="A9" s="71">
        <v>45880</v>
      </c>
      <c r="B9" s="72" t="s">
        <v>53</v>
      </c>
      <c r="C9" s="72">
        <v>1</v>
      </c>
      <c r="E9" s="72"/>
      <c r="F9" s="72"/>
      <c r="G9" s="72"/>
      <c r="H9" s="76"/>
      <c r="K9" s="72" t="s">
        <v>117</v>
      </c>
      <c r="L9" s="72"/>
      <c r="M9" s="72"/>
      <c r="N9" s="72"/>
      <c r="O9" s="72"/>
    </row>
    <row r="10" spans="1:21">
      <c r="A10" s="71">
        <v>45915</v>
      </c>
      <c r="B10" s="72" t="s">
        <v>26</v>
      </c>
      <c r="C10" s="72">
        <v>1</v>
      </c>
      <c r="K10" s="76" t="s">
        <v>39</v>
      </c>
      <c r="L10" s="76" t="s">
        <v>40</v>
      </c>
      <c r="M10" s="76" t="s">
        <v>42</v>
      </c>
      <c r="N10" s="76" t="s">
        <v>43</v>
      </c>
      <c r="O10" s="76" t="s">
        <v>44</v>
      </c>
    </row>
    <row r="11" spans="1:21">
      <c r="A11" s="71">
        <v>45923</v>
      </c>
      <c r="B11" s="72" t="s">
        <v>27</v>
      </c>
      <c r="C11" s="72">
        <v>1</v>
      </c>
      <c r="K11" s="71">
        <v>45748</v>
      </c>
      <c r="L11" s="71">
        <v>45748</v>
      </c>
      <c r="M11" s="77">
        <v>0.41666666666666669</v>
      </c>
      <c r="N11" s="77">
        <v>0.75</v>
      </c>
      <c r="O11" s="72"/>
      <c r="Q11" s="71">
        <v>45383</v>
      </c>
      <c r="R11" s="71">
        <v>45473</v>
      </c>
      <c r="S11" s="77">
        <v>0.41666666666666669</v>
      </c>
      <c r="T11" s="77">
        <v>0.75</v>
      </c>
      <c r="U11" s="72"/>
    </row>
    <row r="12" spans="1:21">
      <c r="A12" s="71">
        <v>45943</v>
      </c>
      <c r="B12" s="72" t="s">
        <v>52</v>
      </c>
      <c r="C12" s="72">
        <v>1</v>
      </c>
      <c r="E12" s="138" t="s">
        <v>6</v>
      </c>
      <c r="F12" s="138"/>
      <c r="G12" s="138"/>
      <c r="H12" s="138"/>
      <c r="K12" s="71"/>
      <c r="L12" s="71"/>
      <c r="M12" s="77"/>
      <c r="N12" s="77"/>
      <c r="O12" s="72"/>
      <c r="Q12" s="71">
        <v>45474</v>
      </c>
      <c r="R12" s="71">
        <v>45487</v>
      </c>
      <c r="S12" s="77">
        <v>0.39583333333333331</v>
      </c>
      <c r="T12" s="77">
        <v>0.75</v>
      </c>
      <c r="U12" s="72">
        <v>2</v>
      </c>
    </row>
    <row r="13" spans="1:21">
      <c r="A13" s="71">
        <v>45964</v>
      </c>
      <c r="B13" s="72" t="s">
        <v>28</v>
      </c>
      <c r="C13" s="72">
        <v>1</v>
      </c>
      <c r="E13" s="138" t="s">
        <v>39</v>
      </c>
      <c r="F13" s="138" t="s">
        <v>40</v>
      </c>
      <c r="G13" s="138" t="s">
        <v>41</v>
      </c>
      <c r="H13" s="138" t="s">
        <v>45</v>
      </c>
      <c r="K13" s="71"/>
      <c r="L13" s="71"/>
      <c r="M13" s="77"/>
      <c r="N13" s="77"/>
      <c r="O13" s="72"/>
      <c r="Q13" s="71">
        <v>45490</v>
      </c>
      <c r="R13" s="71">
        <v>45490</v>
      </c>
      <c r="S13" s="77">
        <v>0.39583333333333331</v>
      </c>
      <c r="T13" s="77">
        <v>0.75</v>
      </c>
      <c r="U13" s="72">
        <v>1</v>
      </c>
    </row>
    <row r="14" spans="1:21">
      <c r="A14" s="71">
        <v>45984</v>
      </c>
      <c r="B14" s="72" t="s">
        <v>29</v>
      </c>
      <c r="C14" s="72">
        <v>1</v>
      </c>
      <c r="E14" s="139">
        <v>45724</v>
      </c>
      <c r="F14" s="139">
        <v>45996</v>
      </c>
      <c r="G14" s="142" t="s">
        <v>6</v>
      </c>
      <c r="H14" s="140">
        <v>1</v>
      </c>
      <c r="K14" s="71"/>
      <c r="L14" s="71"/>
      <c r="M14" s="77"/>
      <c r="N14" s="77"/>
      <c r="O14" s="72"/>
    </row>
    <row r="15" spans="1:21">
      <c r="A15" s="71">
        <v>45985</v>
      </c>
      <c r="B15" s="72" t="s">
        <v>96</v>
      </c>
      <c r="C15" s="72">
        <v>1</v>
      </c>
      <c r="E15" s="139">
        <v>45997</v>
      </c>
      <c r="F15" s="139">
        <v>46076</v>
      </c>
      <c r="G15" s="142" t="s">
        <v>6</v>
      </c>
      <c r="H15" s="140">
        <v>1</v>
      </c>
      <c r="K15" s="71"/>
      <c r="L15" s="71"/>
      <c r="M15" s="77"/>
      <c r="N15" s="77"/>
      <c r="O15" s="72"/>
    </row>
    <row r="16" spans="1:21">
      <c r="A16" s="221">
        <v>46023</v>
      </c>
      <c r="B16" s="222" t="s">
        <v>51</v>
      </c>
      <c r="C16" s="72">
        <v>1</v>
      </c>
      <c r="E16" s="139">
        <v>46091</v>
      </c>
      <c r="F16" s="139">
        <v>46460</v>
      </c>
      <c r="G16" s="142" t="s">
        <v>6</v>
      </c>
      <c r="H16" s="140">
        <v>1</v>
      </c>
      <c r="K16" s="141"/>
      <c r="L16" s="71"/>
      <c r="M16" s="77"/>
      <c r="N16" s="77"/>
      <c r="O16" s="72"/>
    </row>
    <row r="17" spans="1:22">
      <c r="A17" s="71">
        <v>46034</v>
      </c>
      <c r="B17" s="72" t="s">
        <v>30</v>
      </c>
      <c r="C17" s="72">
        <v>1</v>
      </c>
      <c r="E17" s="139"/>
      <c r="F17" s="139"/>
      <c r="G17" s="142"/>
      <c r="H17" s="140"/>
    </row>
    <row r="18" spans="1:22">
      <c r="A18" s="71">
        <v>46064</v>
      </c>
      <c r="B18" s="72" t="s">
        <v>31</v>
      </c>
      <c r="C18" s="72">
        <v>1</v>
      </c>
      <c r="E18" s="139"/>
      <c r="F18" s="139"/>
      <c r="G18" s="138"/>
      <c r="H18" s="140"/>
      <c r="J18" s="250"/>
      <c r="K18" s="250" t="s">
        <v>98</v>
      </c>
      <c r="L18" s="72"/>
      <c r="M18" s="72"/>
      <c r="N18" s="72"/>
      <c r="O18" s="50"/>
      <c r="R18" s="72" t="s">
        <v>98</v>
      </c>
      <c r="S18" s="72"/>
      <c r="T18" s="72"/>
      <c r="U18" s="72"/>
      <c r="V18" s="72"/>
    </row>
    <row r="19" spans="1:22">
      <c r="A19" s="71">
        <v>46076</v>
      </c>
      <c r="B19" s="72" t="s">
        <v>54</v>
      </c>
      <c r="C19" s="72">
        <v>1</v>
      </c>
      <c r="E19" s="139"/>
      <c r="F19" s="139"/>
      <c r="G19" s="138"/>
      <c r="H19" s="140"/>
      <c r="J19" s="250"/>
      <c r="K19" s="251"/>
      <c r="L19" s="242" t="s">
        <v>43</v>
      </c>
      <c r="M19" s="243"/>
      <c r="N19" s="244"/>
      <c r="O19" s="255"/>
      <c r="R19" s="76" t="s">
        <v>42</v>
      </c>
      <c r="S19" s="76" t="s">
        <v>43</v>
      </c>
      <c r="T19" s="72"/>
      <c r="U19" s="72"/>
      <c r="V19" s="76" t="s">
        <v>44</v>
      </c>
    </row>
    <row r="20" spans="1:22">
      <c r="A20" s="148">
        <v>46101</v>
      </c>
      <c r="B20" s="72" t="s">
        <v>32</v>
      </c>
      <c r="C20" s="72">
        <v>1</v>
      </c>
      <c r="E20" s="138"/>
      <c r="F20" s="138"/>
      <c r="G20" s="138"/>
      <c r="H20" s="140"/>
      <c r="J20" s="250"/>
      <c r="K20" s="250"/>
      <c r="L20" s="245">
        <v>0.70833333333333337</v>
      </c>
      <c r="M20" s="245">
        <v>0.75</v>
      </c>
      <c r="N20" s="252"/>
      <c r="O20" s="254"/>
      <c r="R20" s="77">
        <v>0.375</v>
      </c>
      <c r="S20" s="77">
        <v>0.70833333333333337</v>
      </c>
      <c r="T20" s="72"/>
      <c r="U20" s="72"/>
      <c r="V20" s="72">
        <v>1</v>
      </c>
    </row>
    <row r="21" spans="1:22">
      <c r="A21" s="148"/>
      <c r="B21" s="72"/>
      <c r="C21" s="72"/>
      <c r="E21" s="138"/>
      <c r="F21" s="138"/>
      <c r="G21" s="138"/>
      <c r="H21" s="140"/>
      <c r="J21" s="247" t="s">
        <v>120</v>
      </c>
      <c r="K21" s="245">
        <v>0.41666666666666669</v>
      </c>
      <c r="L21" s="246">
        <v>1</v>
      </c>
      <c r="M21" s="246">
        <v>2</v>
      </c>
      <c r="N21" s="253"/>
      <c r="O21" s="254"/>
      <c r="R21" s="77">
        <v>0.39583333333333331</v>
      </c>
      <c r="S21" s="77">
        <v>0.70833333333333337</v>
      </c>
      <c r="T21" s="72"/>
      <c r="U21" s="72"/>
      <c r="V21" s="72">
        <v>2</v>
      </c>
    </row>
    <row r="22" spans="1:22">
      <c r="A22" s="148"/>
      <c r="B22" s="72"/>
      <c r="C22" s="72"/>
      <c r="J22" s="248" t="s">
        <v>121</v>
      </c>
      <c r="K22" s="245">
        <v>0.39583333333333331</v>
      </c>
      <c r="L22" s="246">
        <v>3</v>
      </c>
      <c r="M22" s="246">
        <v>4</v>
      </c>
      <c r="N22" s="253"/>
      <c r="O22" s="254"/>
      <c r="R22" s="77">
        <v>0.41666666666666669</v>
      </c>
      <c r="S22" s="77">
        <v>0.70833333333333337</v>
      </c>
      <c r="T22" s="72"/>
      <c r="U22" s="72"/>
      <c r="V22" s="72">
        <v>0</v>
      </c>
    </row>
    <row r="23" spans="1:22">
      <c r="A23" s="148"/>
      <c r="B23" s="72"/>
      <c r="C23" s="72"/>
      <c r="J23" s="248" t="s">
        <v>122</v>
      </c>
      <c r="K23" s="245">
        <v>0.375</v>
      </c>
      <c r="L23" s="246">
        <v>5</v>
      </c>
      <c r="M23" s="246">
        <v>6</v>
      </c>
      <c r="N23" s="253"/>
      <c r="O23" s="254"/>
      <c r="R23" s="77">
        <v>0.41666666666666669</v>
      </c>
      <c r="S23" s="77">
        <v>0.75</v>
      </c>
      <c r="T23" s="72"/>
      <c r="U23" s="72"/>
      <c r="V23" s="72">
        <v>3</v>
      </c>
    </row>
    <row r="24" spans="1:22">
      <c r="J24" s="249" t="s">
        <v>123</v>
      </c>
      <c r="K24" s="245"/>
      <c r="L24" s="245"/>
      <c r="M24" s="246"/>
      <c r="N24" s="253"/>
      <c r="O24" s="254"/>
      <c r="R24" s="72"/>
      <c r="S24" s="72"/>
      <c r="T24" s="72"/>
      <c r="U24" s="72"/>
      <c r="V24" s="72"/>
    </row>
    <row r="25" spans="1:22">
      <c r="A25" s="72" t="s">
        <v>50</v>
      </c>
      <c r="K25" s="50"/>
      <c r="L25" s="50"/>
      <c r="M25" s="50"/>
      <c r="N25" s="50"/>
      <c r="O25" s="50"/>
    </row>
    <row r="26" spans="1:22">
      <c r="A26" s="71">
        <v>45748</v>
      </c>
      <c r="K26" s="50"/>
      <c r="L26" s="50"/>
      <c r="M26" s="50"/>
      <c r="N26" s="50"/>
      <c r="O26" s="50"/>
    </row>
  </sheetData>
  <phoneticPr fontId="1"/>
  <printOptions horizontalCentered="1" verticalCentered="1"/>
  <pageMargins left="0.43307086614173229" right="0.43307086614173229" top="0.74803149606299213" bottom="0.74803149606299213"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年間カレンダー</vt:lpstr>
      <vt:lpstr>配置表</vt:lpstr>
      <vt:lpstr>月別配置時間★</vt:lpstr>
      <vt:lpstr>データ</vt:lpstr>
      <vt:lpstr>データ!Print_Area</vt:lpstr>
      <vt:lpstr>月別配置時間★!Print_Area</vt:lpstr>
      <vt:lpstr>年間カレンダー!Print_Area</vt:lpstr>
      <vt:lpstr>月別配置時間★!Print_Titles</vt:lpstr>
      <vt:lpstr>配置表!Print_Titles</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橋村浩実</dc:creator>
  <cp:lastModifiedBy>兵庫県</cp:lastModifiedBy>
  <cp:lastPrinted>2024-10-24T06:38:28Z</cp:lastPrinted>
  <dcterms:created xsi:type="dcterms:W3CDTF">2006-12-19T02:54:22Z</dcterms:created>
  <dcterms:modified xsi:type="dcterms:W3CDTF">2024-11-23T01:49:11Z</dcterms:modified>
</cp:coreProperties>
</file>